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mc:AlternateContent xmlns:mc="http://schemas.openxmlformats.org/markup-compatibility/2006">
    <mc:Choice Requires="x15">
      <x15ac:absPath xmlns:x15ac="http://schemas.microsoft.com/office/spreadsheetml/2010/11/ac" url="C:\Users\asalimi\Downloads\Emission Inventory Spreadsheets\"/>
    </mc:Choice>
  </mc:AlternateContent>
  <xr:revisionPtr revIDLastSave="0" documentId="13_ncr:1_{6537E3B1-CBAD-4CF1-AA2F-0A13F35399C4}" xr6:coauthVersionLast="47" xr6:coauthVersionMax="47" xr10:uidLastSave="{00000000-0000-0000-0000-000000000000}"/>
  <bookViews>
    <workbookView xWindow="-120" yWindow="-120" windowWidth="20730" windowHeight="11160" tabRatio="920" activeTab="3" xr2:uid="{A86E0DB8-2199-4A05-9878-87744F89660E}"/>
  </bookViews>
  <sheets>
    <sheet name="ReadMe" sheetId="49" r:id="rId1"/>
    <sheet name="RFP-Rev5Pct" sheetId="31" r:id="rId2"/>
    <sheet name="Emis-Rev5Pct" sheetId="5" r:id="rId3"/>
    <sheet name="SectorSum2020" sheetId="42" r:id="rId4"/>
    <sheet name="SectorSum2026" sheetId="45" r:id="rId5"/>
    <sheet name="SectorSum2027" sheetId="46" r:id="rId6"/>
    <sheet name="SectorSum2027PB" sheetId="48" r:id="rId7"/>
    <sheet name="OYWCalcs" sheetId="35" r:id="rId8"/>
    <sheet name="PointsNoBACT" sheetId="39" r:id="rId9"/>
    <sheet name="SpaceHeat" sheetId="6" r:id="rId10"/>
    <sheet name="OnRoad" sheetId="9" r:id="rId11"/>
    <sheet name="2020NRARSummary" sheetId="15" r:id="rId12"/>
    <sheet name="2021NRARSummary" sheetId="16" r:id="rId13"/>
    <sheet name="2022NRARSummary" sheetId="17" r:id="rId14"/>
    <sheet name="2023NRARSummary" sheetId="14" r:id="rId15"/>
    <sheet name="2024NRARSummary" sheetId="12" r:id="rId16"/>
    <sheet name="2025NRARSummary" sheetId="32" r:id="rId17"/>
    <sheet name="2026NRARSummary" sheetId="13" r:id="rId18"/>
    <sheet name="2027NRARSummary" sheetId="33" r:id="rId19"/>
    <sheet name="2028NRARSummary" sheetId="34" r:id="rId20"/>
    <sheet name="2029NRARSummary" sheetId="11" r:id="rId21"/>
    <sheet name="TabSpHt2020" sheetId="23" r:id="rId22"/>
    <sheet name="TabSpHt2021" sheetId="24" r:id="rId23"/>
    <sheet name="TabSpHt2022" sheetId="25" r:id="rId24"/>
    <sheet name="TabSpHt2023" sheetId="26" r:id="rId25"/>
    <sheet name="TabSpHt2024" sheetId="27" r:id="rId26"/>
    <sheet name="TabSpHt2025" sheetId="28" r:id="rId27"/>
    <sheet name="TabSpHt2026" sheetId="29" r:id="rId28"/>
    <sheet name="TabSpHt2027" sheetId="36" r:id="rId29"/>
    <sheet name="TabSpHt2028" sheetId="37" r:id="rId30"/>
    <sheet name="TabSpHt2029" sheetId="38" r:id="rId31"/>
  </sheets>
  <externalReferences>
    <externalReference r:id="rId32"/>
  </externalReferences>
  <definedNames>
    <definedName name="DevTechFracs">[1]HHSurvey!$N$48:$Q$63</definedName>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2">'Emis-Rev5Pct'!$X$1:$AH$66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0" i="42" l="1"/>
  <c r="L19" i="5"/>
  <c r="G25" i="5" a="1"/>
  <c r="J7" i="5" a="1"/>
  <c r="H7" i="5" a="1"/>
  <c r="H25" i="5" a="1"/>
  <c r="K25" i="5" a="1"/>
  <c r="K7" i="5" a="1"/>
  <c r="L25" i="5" a="1"/>
  <c r="I25" i="5" a="1"/>
  <c r="G7" i="5" a="1"/>
  <c r="I7" i="5" a="1"/>
  <c r="L7" i="5" a="1"/>
  <c r="J25" i="5" a="1"/>
  <c r="J25" i="5" l="1"/>
  <c r="K25" i="5"/>
  <c r="G25" i="5"/>
  <c r="H25" i="5"/>
  <c r="I25" i="5"/>
  <c r="I7" i="5"/>
  <c r="H7" i="5"/>
  <c r="K7" i="5"/>
  <c r="G7" i="5"/>
  <c r="J7" i="5"/>
  <c r="L25" i="5"/>
  <c r="L7" i="5"/>
  <c r="L39" i="6" l="1"/>
  <c r="K39" i="6"/>
  <c r="C19" i="48" a="1"/>
  <c r="AB21" i="5" a="1"/>
  <c r="AE21" i="5" a="1"/>
  <c r="AH21" i="5" a="1"/>
  <c r="D4" i="48" a="1"/>
  <c r="F19" i="48" a="1"/>
  <c r="G4" i="48" a="1"/>
  <c r="F4" i="48" a="1"/>
  <c r="AF21" i="5" a="1"/>
  <c r="AA21" i="5" a="1"/>
  <c r="E19" i="48" a="1"/>
  <c r="Z21" i="5" a="1"/>
  <c r="AG21" i="5" a="1"/>
  <c r="E4" i="48" a="1"/>
  <c r="C4" i="48" a="1"/>
  <c r="AC21" i="5" a="1"/>
  <c r="G19" i="48" a="1"/>
  <c r="AD21" i="5" a="1"/>
  <c r="D19" i="48" a="1"/>
  <c r="AE21" i="5" l="1"/>
  <c r="AC21" i="5"/>
  <c r="Z21" i="5"/>
  <c r="AA21" i="5"/>
  <c r="AD21" i="5"/>
  <c r="AF21" i="5"/>
  <c r="AH21" i="5"/>
  <c r="AB21" i="5"/>
  <c r="AG21" i="5"/>
  <c r="G19" i="48"/>
  <c r="F19" i="48"/>
  <c r="E19" i="48"/>
  <c r="D19" i="48"/>
  <c r="C19" i="48"/>
  <c r="G4" i="48"/>
  <c r="F4" i="48"/>
  <c r="E4" i="48"/>
  <c r="D4" i="48"/>
  <c r="C4" i="48"/>
  <c r="G25" i="48" l="1"/>
  <c r="F25" i="48"/>
  <c r="E25" i="48"/>
  <c r="D25" i="48"/>
  <c r="C25" i="48"/>
  <c r="G10" i="48"/>
  <c r="F10" i="48"/>
  <c r="E10" i="48"/>
  <c r="D10" i="48"/>
  <c r="C10" i="48"/>
  <c r="G3" i="48"/>
  <c r="G18" i="48" s="1"/>
  <c r="F3" i="48"/>
  <c r="E3" i="48"/>
  <c r="D3" i="48"/>
  <c r="C3" i="48"/>
  <c r="G25" i="46"/>
  <c r="F25" i="46"/>
  <c r="E25" i="46"/>
  <c r="D25" i="46"/>
  <c r="C25" i="46"/>
  <c r="E19" i="46"/>
  <c r="C19" i="46"/>
  <c r="G10" i="46"/>
  <c r="F10" i="46"/>
  <c r="E10" i="46"/>
  <c r="D10" i="46"/>
  <c r="C10" i="46"/>
  <c r="G3" i="46"/>
  <c r="G18" i="46" s="1"/>
  <c r="F3" i="46"/>
  <c r="F18" i="46" s="1"/>
  <c r="E3" i="46"/>
  <c r="E18" i="46" s="1"/>
  <c r="D3" i="46"/>
  <c r="D18" i="46" s="1"/>
  <c r="C3" i="46"/>
  <c r="C18" i="46" s="1"/>
  <c r="G25" i="45"/>
  <c r="F25" i="45"/>
  <c r="E25" i="45"/>
  <c r="D25" i="45"/>
  <c r="C25" i="45"/>
  <c r="E19" i="45"/>
  <c r="C19" i="45"/>
  <c r="G10" i="45"/>
  <c r="F10" i="45"/>
  <c r="E10" i="45"/>
  <c r="D10" i="45"/>
  <c r="C10" i="45"/>
  <c r="G3" i="45"/>
  <c r="G18" i="45" s="1"/>
  <c r="F3" i="45"/>
  <c r="F18" i="45" s="1"/>
  <c r="E3" i="45"/>
  <c r="E18" i="45" s="1"/>
  <c r="D3" i="45"/>
  <c r="D18" i="45" s="1"/>
  <c r="C3" i="45"/>
  <c r="C18" i="45" s="1"/>
  <c r="E19" i="42"/>
  <c r="C19" i="42"/>
  <c r="G25" i="42"/>
  <c r="F25" i="42"/>
  <c r="E25" i="42"/>
  <c r="D25" i="42"/>
  <c r="C25" i="42"/>
  <c r="F11" i="46" a="1"/>
  <c r="G27" i="45" a="1"/>
  <c r="E26" i="46" a="1"/>
  <c r="F27" i="42" a="1"/>
  <c r="C27" i="45" a="1"/>
  <c r="G27" i="42" a="1"/>
  <c r="F11" i="45" a="1"/>
  <c r="D24" i="46" a="1"/>
  <c r="G27" i="48" a="1"/>
  <c r="E11" i="42" a="1"/>
  <c r="G11" i="46" a="1"/>
  <c r="D26" i="46" a="1"/>
  <c r="F11" i="42" a="1"/>
  <c r="E20" i="42" a="1"/>
  <c r="E12" i="45" a="1"/>
  <c r="C26" i="48" a="1"/>
  <c r="E11" i="46" a="1"/>
  <c r="C27" i="48" a="1"/>
  <c r="D24" i="45" a="1"/>
  <c r="F26" i="42" a="1"/>
  <c r="E27" i="42" a="1"/>
  <c r="E11" i="45" a="1"/>
  <c r="C11" i="48" a="1"/>
  <c r="E27" i="46" a="1"/>
  <c r="E12" i="46" a="1"/>
  <c r="G24" i="46" a="1"/>
  <c r="E24" i="46" a="1"/>
  <c r="C24" i="48" a="1"/>
  <c r="G12" i="45" a="1"/>
  <c r="D11" i="48" a="1"/>
  <c r="D11" i="46" a="1"/>
  <c r="G9" i="46" a="1"/>
  <c r="D12" i="45" a="1"/>
  <c r="C26" i="46" a="1"/>
  <c r="G12" i="42" a="1"/>
  <c r="E9" i="48" a="1"/>
  <c r="E27" i="48" a="1"/>
  <c r="G12" i="48" a="1"/>
  <c r="F12" i="45" a="1"/>
  <c r="F12" i="42" a="1"/>
  <c r="C24" i="46" a="1"/>
  <c r="G26" i="42" a="1"/>
  <c r="G11" i="48" a="1"/>
  <c r="G12" i="46" a="1"/>
  <c r="D12" i="42" a="1"/>
  <c r="F9" i="45" a="1"/>
  <c r="F12" i="48" a="1"/>
  <c r="C9" i="46" a="1"/>
  <c r="C27" i="46" a="1"/>
  <c r="F9" i="48" a="1"/>
  <c r="D12" i="46" a="1"/>
  <c r="G24" i="45" a="1"/>
  <c r="D26" i="48" a="1"/>
  <c r="E26" i="48" a="1"/>
  <c r="G11" i="45" a="1"/>
  <c r="G9" i="48" a="1"/>
  <c r="E11" i="48" a="1"/>
  <c r="E12" i="48" a="1"/>
  <c r="E9" i="46" a="1"/>
  <c r="D26" i="42" a="1"/>
  <c r="C11" i="46" a="1"/>
  <c r="F27" i="48" a="1"/>
  <c r="E24" i="48" a="1"/>
  <c r="C12" i="48" a="1"/>
  <c r="F24" i="48" a="1"/>
  <c r="C26" i="42" a="1"/>
  <c r="D9" i="45" a="1"/>
  <c r="F12" i="46" a="1"/>
  <c r="D27" i="46" a="1"/>
  <c r="G26" i="45" a="1"/>
  <c r="E27" i="45" a="1"/>
  <c r="D27" i="42" a="1"/>
  <c r="F24" i="46" a="1"/>
  <c r="C9" i="48" a="1"/>
  <c r="F26" i="48" a="1"/>
  <c r="F26" i="45" a="1"/>
  <c r="G24" i="48" a="1"/>
  <c r="E26" i="45" a="1"/>
  <c r="D11" i="45" a="1"/>
  <c r="F26" i="46" a="1"/>
  <c r="C12" i="45" a="1"/>
  <c r="D12" i="48" a="1"/>
  <c r="G26" i="48" a="1"/>
  <c r="D11" i="42" a="1"/>
  <c r="E26" i="42" a="1"/>
  <c r="D26" i="45" a="1"/>
  <c r="C27" i="42" a="1"/>
  <c r="C24" i="45" a="1"/>
  <c r="F24" i="45" a="1"/>
  <c r="D27" i="48" a="1"/>
  <c r="D9" i="46" a="1"/>
  <c r="F11" i="48" a="1"/>
  <c r="D27" i="45" a="1"/>
  <c r="E12" i="42" a="1"/>
  <c r="G26" i="46" a="1"/>
  <c r="G9" i="45" a="1"/>
  <c r="C9" i="45" a="1"/>
  <c r="D9" i="48" a="1"/>
  <c r="G11" i="42" a="1"/>
  <c r="E9" i="45" a="1"/>
  <c r="C11" i="45" a="1"/>
  <c r="F9" i="46" a="1"/>
  <c r="C12" i="46" a="1"/>
  <c r="F27" i="45" a="1"/>
  <c r="E24" i="45" a="1"/>
  <c r="G27" i="46" a="1"/>
  <c r="F27" i="46" a="1"/>
  <c r="C26" i="45" a="1"/>
  <c r="D24" i="48" a="1"/>
  <c r="P19" i="46" l="1"/>
  <c r="N25" i="48"/>
  <c r="O25" i="48"/>
  <c r="P25" i="48"/>
  <c r="Q25" i="48"/>
  <c r="R25" i="48"/>
  <c r="C12" i="48"/>
  <c r="G26" i="48"/>
  <c r="C11" i="48"/>
  <c r="E12" i="48"/>
  <c r="D11" i="48"/>
  <c r="F12" i="48"/>
  <c r="C24" i="48"/>
  <c r="E11" i="48"/>
  <c r="G12" i="48"/>
  <c r="D24" i="48"/>
  <c r="F11" i="48"/>
  <c r="E24" i="48"/>
  <c r="G9" i="48"/>
  <c r="G11" i="48"/>
  <c r="F24" i="48"/>
  <c r="C27" i="48"/>
  <c r="G24" i="48"/>
  <c r="D27" i="48"/>
  <c r="C9" i="48"/>
  <c r="C26" i="48"/>
  <c r="E27" i="48"/>
  <c r="D12" i="48"/>
  <c r="D9" i="48"/>
  <c r="D26" i="48"/>
  <c r="F27" i="48"/>
  <c r="E9" i="48"/>
  <c r="E26" i="48"/>
  <c r="G27" i="48"/>
  <c r="F9" i="48"/>
  <c r="F26" i="48"/>
  <c r="C18" i="48"/>
  <c r="D18" i="48"/>
  <c r="N19" i="48"/>
  <c r="E18" i="48"/>
  <c r="F18" i="48"/>
  <c r="P19" i="48"/>
  <c r="E26" i="46"/>
  <c r="F26" i="46"/>
  <c r="D11" i="46"/>
  <c r="G26" i="46"/>
  <c r="C24" i="46"/>
  <c r="E11" i="46"/>
  <c r="C27" i="46"/>
  <c r="D24" i="46"/>
  <c r="D27" i="46"/>
  <c r="E24" i="46"/>
  <c r="D26" i="46"/>
  <c r="G11" i="46"/>
  <c r="E27" i="46"/>
  <c r="C11" i="46"/>
  <c r="C9" i="46"/>
  <c r="F24" i="46"/>
  <c r="C12" i="46"/>
  <c r="F27" i="46"/>
  <c r="F11" i="46"/>
  <c r="D9" i="46"/>
  <c r="G24" i="46"/>
  <c r="D12" i="46"/>
  <c r="G27" i="46"/>
  <c r="E9" i="46"/>
  <c r="E12" i="46"/>
  <c r="F9" i="46"/>
  <c r="F12" i="46"/>
  <c r="G9" i="46"/>
  <c r="G12" i="46"/>
  <c r="C26" i="46"/>
  <c r="D26" i="45"/>
  <c r="E26" i="45"/>
  <c r="F26" i="45"/>
  <c r="D11" i="45"/>
  <c r="G26" i="45"/>
  <c r="C24" i="45"/>
  <c r="C11" i="45"/>
  <c r="E11" i="45"/>
  <c r="C27" i="45"/>
  <c r="D24" i="45"/>
  <c r="F11" i="45"/>
  <c r="D27" i="45"/>
  <c r="E24" i="45"/>
  <c r="G11" i="45"/>
  <c r="E27" i="45"/>
  <c r="C9" i="45"/>
  <c r="F24" i="45"/>
  <c r="C12" i="45"/>
  <c r="F27" i="45"/>
  <c r="D9" i="45"/>
  <c r="G24" i="45"/>
  <c r="D12" i="45"/>
  <c r="G27" i="45"/>
  <c r="E9" i="45"/>
  <c r="E12" i="45"/>
  <c r="F9" i="45"/>
  <c r="F12" i="45"/>
  <c r="G9" i="45"/>
  <c r="G12" i="45"/>
  <c r="C26" i="45"/>
  <c r="N19" i="46"/>
  <c r="G11" i="42"/>
  <c r="G12" i="42"/>
  <c r="F11" i="42"/>
  <c r="F12" i="42"/>
  <c r="E11" i="42"/>
  <c r="E12" i="42"/>
  <c r="D11" i="42"/>
  <c r="D12" i="42"/>
  <c r="O25" i="46"/>
  <c r="N25" i="46"/>
  <c r="N19" i="45"/>
  <c r="O25" i="45"/>
  <c r="P25" i="46"/>
  <c r="Q25" i="46"/>
  <c r="R25" i="46"/>
  <c r="N25" i="45"/>
  <c r="P25" i="45"/>
  <c r="Q25" i="45"/>
  <c r="R25" i="45"/>
  <c r="G26" i="42"/>
  <c r="G27" i="42"/>
  <c r="F27" i="42"/>
  <c r="F26" i="42"/>
  <c r="E26" i="42"/>
  <c r="E27" i="42"/>
  <c r="D27" i="42"/>
  <c r="D26" i="42"/>
  <c r="C26" i="42"/>
  <c r="C27" i="42"/>
  <c r="E20" i="42"/>
  <c r="L47" i="5"/>
  <c r="K47" i="5"/>
  <c r="J47" i="5"/>
  <c r="I47" i="5"/>
  <c r="H47" i="5"/>
  <c r="G47" i="5"/>
  <c r="F47" i="5"/>
  <c r="E47" i="5"/>
  <c r="D47" i="5"/>
  <c r="L59" i="5"/>
  <c r="K59" i="5"/>
  <c r="J59" i="5"/>
  <c r="I59" i="5"/>
  <c r="H59" i="5"/>
  <c r="G59" i="5"/>
  <c r="F59" i="5"/>
  <c r="E59" i="5"/>
  <c r="D59" i="5"/>
  <c r="L71" i="5"/>
  <c r="K71" i="5"/>
  <c r="J71" i="5"/>
  <c r="I71" i="5"/>
  <c r="H71" i="5"/>
  <c r="G71" i="5"/>
  <c r="F71" i="5"/>
  <c r="E71" i="5"/>
  <c r="D71" i="5"/>
  <c r="C71" i="5"/>
  <c r="C59" i="5"/>
  <c r="C47" i="5"/>
  <c r="L44" i="5"/>
  <c r="K44" i="5"/>
  <c r="J44" i="5"/>
  <c r="I44" i="5"/>
  <c r="H44" i="5"/>
  <c r="G44" i="5"/>
  <c r="F44" i="5"/>
  <c r="E44" i="5"/>
  <c r="D44" i="5"/>
  <c r="L56" i="5"/>
  <c r="K56" i="5"/>
  <c r="J56" i="5"/>
  <c r="I56" i="5"/>
  <c r="H56" i="5"/>
  <c r="G56" i="5"/>
  <c r="F56" i="5"/>
  <c r="E56" i="5"/>
  <c r="D56" i="5"/>
  <c r="L68" i="5"/>
  <c r="K68" i="5"/>
  <c r="J68" i="5"/>
  <c r="I68" i="5"/>
  <c r="H68" i="5"/>
  <c r="G68" i="5"/>
  <c r="F68" i="5"/>
  <c r="E68" i="5"/>
  <c r="D68" i="5"/>
  <c r="C68" i="5"/>
  <c r="C56" i="5"/>
  <c r="C44" i="5"/>
  <c r="G10" i="42"/>
  <c r="F10" i="42"/>
  <c r="W10" i="42" s="1"/>
  <c r="E10" i="42"/>
  <c r="V10" i="42" s="1"/>
  <c r="D10" i="42"/>
  <c r="U10" i="42" s="1"/>
  <c r="G3" i="42"/>
  <c r="F3" i="42"/>
  <c r="E3" i="42"/>
  <c r="D3" i="42"/>
  <c r="C3" i="42"/>
  <c r="AT16" i="42"/>
  <c r="AL16" i="42"/>
  <c r="V16" i="42"/>
  <c r="AD16" i="42"/>
  <c r="N16" i="42"/>
  <c r="I69" i="5" a="1"/>
  <c r="L73" i="5" a="1"/>
  <c r="K58" i="5" a="1"/>
  <c r="H49" i="5" a="1"/>
  <c r="K70" i="5" a="1"/>
  <c r="H60" i="5" a="1"/>
  <c r="C11" i="42" a="1"/>
  <c r="C48" i="5" a="1"/>
  <c r="G61" i="5" a="1"/>
  <c r="I60" i="5" a="1"/>
  <c r="J69" i="5" a="1"/>
  <c r="C49" i="5" a="1"/>
  <c r="D60" i="5" a="1"/>
  <c r="F58" i="5" a="1"/>
  <c r="D24" i="42" a="1"/>
  <c r="E61" i="5" a="1"/>
  <c r="G57" i="5" a="1"/>
  <c r="I49" i="5" a="1"/>
  <c r="C69" i="5" a="1"/>
  <c r="G60" i="5" a="1"/>
  <c r="H72" i="5" a="1"/>
  <c r="D58" i="5" a="1"/>
  <c r="J72" i="5" a="1"/>
  <c r="E46" i="5" a="1"/>
  <c r="C58" i="5" a="1"/>
  <c r="L58" i="5" a="1"/>
  <c r="D45" i="5" a="1"/>
  <c r="I46" i="5" a="1"/>
  <c r="J57" i="5" a="1"/>
  <c r="L48" i="5" a="1"/>
  <c r="F9" i="42" a="1"/>
  <c r="L72" i="5" a="1"/>
  <c r="G70" i="5" a="1"/>
  <c r="I72" i="5" a="1"/>
  <c r="K49" i="5" a="1"/>
  <c r="L60" i="5" a="1"/>
  <c r="L57" i="5" a="1"/>
  <c r="L45" i="5" a="1"/>
  <c r="F49" i="5" a="1"/>
  <c r="K73" i="5" a="1"/>
  <c r="L61" i="5" a="1"/>
  <c r="J45" i="5" a="1"/>
  <c r="L70" i="5" a="1"/>
  <c r="I48" i="5" a="1"/>
  <c r="D72" i="5" a="1"/>
  <c r="J58" i="5" a="1"/>
  <c r="H73" i="5" a="1"/>
  <c r="E57" i="5" a="1"/>
  <c r="C70" i="5" a="1"/>
  <c r="H57" i="5" a="1"/>
  <c r="K60" i="5" a="1"/>
  <c r="F48" i="5" a="1"/>
  <c r="K61" i="5" a="1"/>
  <c r="H61" i="5" a="1"/>
  <c r="I61" i="5" a="1"/>
  <c r="L46" i="5" a="1"/>
  <c r="D57" i="5" a="1"/>
  <c r="J70" i="5" a="1"/>
  <c r="C57" i="5" a="1"/>
  <c r="I45" i="5" a="1"/>
  <c r="K46" i="5" a="1"/>
  <c r="C9" i="42" a="1"/>
  <c r="D73" i="5" a="1"/>
  <c r="F61" i="5" a="1"/>
  <c r="E9" i="42" a="1"/>
  <c r="E70" i="5" a="1"/>
  <c r="J61" i="5" a="1"/>
  <c r="F24" i="42" a="1"/>
  <c r="G72" i="5" a="1"/>
  <c r="L49" i="5" a="1"/>
  <c r="E72" i="5" a="1"/>
  <c r="H48" i="5" a="1"/>
  <c r="G73" i="5" a="1"/>
  <c r="H45" i="5" a="1"/>
  <c r="J48" i="5" a="1"/>
  <c r="E69" i="5" a="1"/>
  <c r="G58" i="5" a="1"/>
  <c r="H58" i="5" a="1"/>
  <c r="D49" i="5" a="1"/>
  <c r="G69" i="5" a="1"/>
  <c r="D46" i="5" a="1"/>
  <c r="C45" i="5" a="1"/>
  <c r="F70" i="5" a="1"/>
  <c r="G9" i="42" a="1"/>
  <c r="E48" i="5" a="1"/>
  <c r="D61" i="5" a="1"/>
  <c r="F60" i="5" a="1"/>
  <c r="F57" i="5" a="1"/>
  <c r="D69" i="5" a="1"/>
  <c r="C12" i="42" a="1"/>
  <c r="D48" i="5" a="1"/>
  <c r="H69" i="5" a="1"/>
  <c r="K45" i="5" a="1"/>
  <c r="G46" i="5" a="1"/>
  <c r="G24" i="42" a="1"/>
  <c r="K69" i="5" a="1"/>
  <c r="D9" i="42" a="1"/>
  <c r="C20" i="42" a="1"/>
  <c r="J60" i="5" a="1"/>
  <c r="I73" i="5" a="1"/>
  <c r="I57" i="5" a="1"/>
  <c r="H70" i="5" a="1"/>
  <c r="F69" i="5" a="1"/>
  <c r="E21" i="42" a="1"/>
  <c r="L69" i="5" a="1"/>
  <c r="C23" i="42" a="1"/>
  <c r="E49" i="5" a="1"/>
  <c r="E23" i="42" a="1"/>
  <c r="C21" i="42" a="1"/>
  <c r="E58" i="5" a="1"/>
  <c r="C22" i="42" a="1"/>
  <c r="F45" i="5" a="1"/>
  <c r="G48" i="5" a="1"/>
  <c r="J49" i="5" a="1"/>
  <c r="C73" i="5" a="1"/>
  <c r="G49" i="5" a="1"/>
  <c r="C60" i="5" a="1"/>
  <c r="J73" i="5" a="1"/>
  <c r="E60" i="5" a="1"/>
  <c r="C72" i="5" a="1"/>
  <c r="F46" i="5" a="1"/>
  <c r="K57" i="5" a="1"/>
  <c r="H46" i="5" a="1"/>
  <c r="J46" i="5" a="1"/>
  <c r="K48" i="5" a="1"/>
  <c r="E73" i="5" a="1"/>
  <c r="C46" i="5" a="1"/>
  <c r="F72" i="5" a="1"/>
  <c r="K72" i="5" a="1"/>
  <c r="E24" i="42" a="1"/>
  <c r="I70" i="5" a="1"/>
  <c r="C61" i="5" a="1"/>
  <c r="D70" i="5" a="1"/>
  <c r="C24" i="42" a="1"/>
  <c r="E45" i="5" a="1"/>
  <c r="F73" i="5" a="1"/>
  <c r="G45" i="5" a="1"/>
  <c r="I58" i="5" a="1"/>
  <c r="E22" i="42" a="1"/>
  <c r="E23" i="42" l="1"/>
  <c r="E21" i="42"/>
  <c r="R10" i="48"/>
  <c r="X10" i="42"/>
  <c r="N10" i="45"/>
  <c r="T10" i="42"/>
  <c r="D18" i="42"/>
  <c r="O18" i="45" s="1"/>
  <c r="U3" i="42"/>
  <c r="E18" i="42"/>
  <c r="P18" i="45" s="1"/>
  <c r="V3" i="42"/>
  <c r="F18" i="42"/>
  <c r="Q18" i="45" s="1"/>
  <c r="W3" i="42"/>
  <c r="G18" i="42"/>
  <c r="R18" i="45" s="1"/>
  <c r="X3" i="42"/>
  <c r="C18" i="42"/>
  <c r="N18" i="45" s="1"/>
  <c r="T3" i="42"/>
  <c r="G14" i="42"/>
  <c r="X11" i="42" s="1"/>
  <c r="F14" i="42"/>
  <c r="W11" i="42" s="1"/>
  <c r="E14" i="42"/>
  <c r="V11" i="42" s="1"/>
  <c r="D14" i="42"/>
  <c r="U11" i="42" s="1"/>
  <c r="E22" i="42"/>
  <c r="C28" i="46"/>
  <c r="P27" i="48"/>
  <c r="N26" i="48"/>
  <c r="E28" i="48"/>
  <c r="O27" i="48"/>
  <c r="N27" i="48"/>
  <c r="R3" i="48"/>
  <c r="C28" i="48"/>
  <c r="R11" i="48"/>
  <c r="E28" i="46"/>
  <c r="Q3" i="48"/>
  <c r="P3" i="48"/>
  <c r="Q11" i="48"/>
  <c r="O3" i="48"/>
  <c r="R12" i="48"/>
  <c r="N3" i="48"/>
  <c r="N10" i="48"/>
  <c r="P11" i="48"/>
  <c r="Q26" i="48"/>
  <c r="Q12" i="48"/>
  <c r="R27" i="48"/>
  <c r="O11" i="48"/>
  <c r="P26" i="48"/>
  <c r="P12" i="48"/>
  <c r="O10" i="45"/>
  <c r="O10" i="48"/>
  <c r="Q27" i="48"/>
  <c r="R26" i="48"/>
  <c r="P10" i="45"/>
  <c r="P10" i="48"/>
  <c r="O26" i="48"/>
  <c r="Q10" i="45"/>
  <c r="Q10" i="48"/>
  <c r="O12" i="48"/>
  <c r="E28" i="45"/>
  <c r="C28" i="45"/>
  <c r="N26" i="46"/>
  <c r="O26" i="46"/>
  <c r="O27" i="46"/>
  <c r="N27" i="46"/>
  <c r="O3" i="46"/>
  <c r="N3" i="46"/>
  <c r="O10" i="46"/>
  <c r="N10" i="46"/>
  <c r="R27" i="45"/>
  <c r="R27" i="46"/>
  <c r="R26" i="46"/>
  <c r="R3" i="46"/>
  <c r="Q26" i="46"/>
  <c r="Q3" i="46"/>
  <c r="P3" i="46"/>
  <c r="Q27" i="46"/>
  <c r="P26" i="46"/>
  <c r="N26" i="45"/>
  <c r="P10" i="46"/>
  <c r="R10" i="45"/>
  <c r="R10" i="46"/>
  <c r="P27" i="46"/>
  <c r="Q10" i="46"/>
  <c r="O26" i="45"/>
  <c r="N27" i="45"/>
  <c r="Q27" i="45"/>
  <c r="P27" i="45"/>
  <c r="R26" i="45"/>
  <c r="O27" i="45"/>
  <c r="Q26" i="45"/>
  <c r="P26" i="45"/>
  <c r="R3" i="45"/>
  <c r="Q3" i="45"/>
  <c r="P3" i="45"/>
  <c r="O3" i="45"/>
  <c r="N3" i="45"/>
  <c r="C21" i="42"/>
  <c r="C20" i="42"/>
  <c r="C23" i="42"/>
  <c r="C22" i="42"/>
  <c r="J48" i="5"/>
  <c r="K48" i="5"/>
  <c r="L48" i="5"/>
  <c r="D49" i="5"/>
  <c r="E49" i="5"/>
  <c r="F49" i="5"/>
  <c r="D48" i="5"/>
  <c r="G49" i="5"/>
  <c r="E48" i="5"/>
  <c r="H49" i="5"/>
  <c r="F48" i="5"/>
  <c r="I49" i="5"/>
  <c r="G48" i="5"/>
  <c r="J49" i="5"/>
  <c r="H48" i="5"/>
  <c r="K49" i="5"/>
  <c r="I48" i="5"/>
  <c r="L49" i="5"/>
  <c r="J60" i="5"/>
  <c r="L60" i="5"/>
  <c r="D61" i="5"/>
  <c r="K60" i="5"/>
  <c r="E61" i="5"/>
  <c r="F61" i="5"/>
  <c r="D60" i="5"/>
  <c r="G61" i="5"/>
  <c r="E60" i="5"/>
  <c r="H61" i="5"/>
  <c r="F60" i="5"/>
  <c r="I61" i="5"/>
  <c r="G60" i="5"/>
  <c r="J61" i="5"/>
  <c r="H60" i="5"/>
  <c r="K61" i="5"/>
  <c r="I60" i="5"/>
  <c r="L61" i="5"/>
  <c r="J72" i="5"/>
  <c r="K72" i="5"/>
  <c r="L72" i="5"/>
  <c r="D73" i="5"/>
  <c r="E73" i="5"/>
  <c r="F73" i="5"/>
  <c r="D72" i="5"/>
  <c r="G73" i="5"/>
  <c r="E72" i="5"/>
  <c r="H73" i="5"/>
  <c r="F72" i="5"/>
  <c r="I73" i="5"/>
  <c r="G72" i="5"/>
  <c r="J73" i="5"/>
  <c r="H72" i="5"/>
  <c r="K73" i="5"/>
  <c r="I72" i="5"/>
  <c r="L73" i="5"/>
  <c r="C73" i="5"/>
  <c r="C61" i="5"/>
  <c r="C49" i="5"/>
  <c r="C60" i="5"/>
  <c r="C72" i="5"/>
  <c r="C48" i="5"/>
  <c r="D70" i="5"/>
  <c r="E70" i="5"/>
  <c r="F70" i="5"/>
  <c r="G70" i="5"/>
  <c r="H70" i="5"/>
  <c r="I70" i="5"/>
  <c r="J70" i="5"/>
  <c r="K70" i="5"/>
  <c r="L70" i="5"/>
  <c r="D58" i="5"/>
  <c r="E58" i="5"/>
  <c r="F58" i="5"/>
  <c r="G58" i="5"/>
  <c r="H58" i="5"/>
  <c r="I58" i="5"/>
  <c r="J58" i="5"/>
  <c r="K58" i="5"/>
  <c r="L58" i="5"/>
  <c r="D46" i="5"/>
  <c r="E46" i="5"/>
  <c r="F46" i="5"/>
  <c r="G46" i="5"/>
  <c r="H46" i="5"/>
  <c r="I46" i="5"/>
  <c r="J46" i="5"/>
  <c r="K46" i="5"/>
  <c r="L46" i="5"/>
  <c r="C46" i="5"/>
  <c r="C58" i="5"/>
  <c r="C70" i="5"/>
  <c r="D45" i="5"/>
  <c r="E45" i="5"/>
  <c r="F45" i="5"/>
  <c r="G45" i="5"/>
  <c r="H45" i="5"/>
  <c r="I45" i="5"/>
  <c r="D19" i="45" s="1"/>
  <c r="J45" i="5"/>
  <c r="K45" i="5"/>
  <c r="L45" i="5"/>
  <c r="D57" i="5"/>
  <c r="E57" i="5"/>
  <c r="F57" i="5"/>
  <c r="G57" i="5"/>
  <c r="H57" i="5"/>
  <c r="I57" i="5"/>
  <c r="F19" i="45" s="1"/>
  <c r="J57" i="5"/>
  <c r="K57" i="5"/>
  <c r="L57" i="5"/>
  <c r="D69" i="5"/>
  <c r="E69" i="5"/>
  <c r="F69" i="5"/>
  <c r="G69" i="5"/>
  <c r="H69" i="5"/>
  <c r="I69" i="5"/>
  <c r="G19" i="45" s="1"/>
  <c r="J69" i="5"/>
  <c r="K69" i="5"/>
  <c r="L69" i="5"/>
  <c r="C69" i="5"/>
  <c r="G19" i="42" s="1"/>
  <c r="C57" i="5"/>
  <c r="F19" i="42" s="1"/>
  <c r="C45" i="5"/>
  <c r="D19" i="42" s="1"/>
  <c r="O11" i="45"/>
  <c r="Q11" i="45"/>
  <c r="P11" i="45"/>
  <c r="O12" i="45"/>
  <c r="Q12" i="45"/>
  <c r="R11" i="45"/>
  <c r="P12" i="45"/>
  <c r="R12" i="45"/>
  <c r="C11" i="42"/>
  <c r="C12" i="42"/>
  <c r="N12" i="45" s="1"/>
  <c r="F24" i="42"/>
  <c r="Q24" i="45" s="1"/>
  <c r="D24" i="42"/>
  <c r="O24" i="45" s="1"/>
  <c r="G24" i="42"/>
  <c r="R24" i="45" s="1"/>
  <c r="C9" i="42"/>
  <c r="D9" i="42"/>
  <c r="E9" i="42"/>
  <c r="E24" i="42"/>
  <c r="P24" i="45" s="1"/>
  <c r="G9" i="42"/>
  <c r="F9" i="42"/>
  <c r="C24" i="42"/>
  <c r="N24" i="45" s="1"/>
  <c r="O18" i="48" l="1"/>
  <c r="O18" i="46"/>
  <c r="N18" i="46"/>
  <c r="Q18" i="46"/>
  <c r="Q18" i="48"/>
  <c r="Q9" i="45"/>
  <c r="W9" i="42"/>
  <c r="R9" i="45"/>
  <c r="X9" i="42"/>
  <c r="P9" i="45"/>
  <c r="V9" i="42"/>
  <c r="O9" i="45"/>
  <c r="U9" i="42"/>
  <c r="N9" i="45"/>
  <c r="T9" i="42"/>
  <c r="P18" i="48"/>
  <c r="P18" i="46"/>
  <c r="R18" i="46"/>
  <c r="R18" i="48"/>
  <c r="N18" i="48"/>
  <c r="N11" i="45"/>
  <c r="C14" i="42"/>
  <c r="T11" i="42" s="1"/>
  <c r="H27" i="48"/>
  <c r="J26" i="48"/>
  <c r="J18" i="48"/>
  <c r="H24" i="48"/>
  <c r="H26" i="48"/>
  <c r="J24" i="48"/>
  <c r="N11" i="48"/>
  <c r="P9" i="48"/>
  <c r="F19" i="46"/>
  <c r="F28" i="46" s="1"/>
  <c r="O24" i="48"/>
  <c r="R24" i="48"/>
  <c r="G19" i="46"/>
  <c r="G28" i="46" s="1"/>
  <c r="P24" i="48"/>
  <c r="O9" i="48"/>
  <c r="N9" i="48"/>
  <c r="J28" i="48"/>
  <c r="J25" i="48"/>
  <c r="J19" i="48"/>
  <c r="D19" i="46"/>
  <c r="D28" i="46" s="1"/>
  <c r="N12" i="48"/>
  <c r="R9" i="48"/>
  <c r="Q9" i="48"/>
  <c r="J27" i="48"/>
  <c r="N24" i="48"/>
  <c r="H28" i="48"/>
  <c r="H19" i="48"/>
  <c r="H25" i="48"/>
  <c r="H18" i="48"/>
  <c r="Q24" i="48"/>
  <c r="F28" i="45"/>
  <c r="D28" i="45"/>
  <c r="G28" i="45"/>
  <c r="H24" i="46"/>
  <c r="O24" i="46"/>
  <c r="N24" i="46"/>
  <c r="O12" i="46"/>
  <c r="N9" i="46"/>
  <c r="N11" i="46"/>
  <c r="N12" i="46"/>
  <c r="O9" i="46"/>
  <c r="O11" i="46"/>
  <c r="Q24" i="46"/>
  <c r="Q11" i="46"/>
  <c r="P11" i="46"/>
  <c r="R11" i="46"/>
  <c r="R9" i="46"/>
  <c r="P24" i="46"/>
  <c r="R24" i="46"/>
  <c r="R12" i="46"/>
  <c r="P9" i="46"/>
  <c r="Q9" i="46"/>
  <c r="P12" i="46"/>
  <c r="Q12" i="46"/>
  <c r="H18" i="45"/>
  <c r="H24" i="45"/>
  <c r="H27" i="45"/>
  <c r="H26" i="45"/>
  <c r="H28" i="45"/>
  <c r="H25" i="45"/>
  <c r="J18" i="46"/>
  <c r="J19" i="46"/>
  <c r="J25" i="46"/>
  <c r="J28" i="46"/>
  <c r="J27" i="46"/>
  <c r="J24" i="46"/>
  <c r="H19" i="45"/>
  <c r="J26" i="46"/>
  <c r="H26" i="46"/>
  <c r="H25" i="46"/>
  <c r="H28" i="46"/>
  <c r="H19" i="46"/>
  <c r="H18" i="46"/>
  <c r="H27" i="46"/>
  <c r="F28" i="42"/>
  <c r="K26" i="42" s="1"/>
  <c r="G28" i="42"/>
  <c r="C50" i="5"/>
  <c r="E74" i="5"/>
  <c r="D74" i="5"/>
  <c r="C74" i="5"/>
  <c r="F74" i="5"/>
  <c r="C62" i="5"/>
  <c r="D62" i="5"/>
  <c r="D50" i="5"/>
  <c r="K74" i="5"/>
  <c r="F62" i="5"/>
  <c r="L74" i="5"/>
  <c r="J74" i="5"/>
  <c r="I74" i="5"/>
  <c r="L62" i="5"/>
  <c r="H74" i="5"/>
  <c r="E50" i="5"/>
  <c r="F50" i="5"/>
  <c r="G74" i="5"/>
  <c r="E62" i="5"/>
  <c r="K62" i="5"/>
  <c r="I62" i="5"/>
  <c r="J62" i="5"/>
  <c r="H62" i="5"/>
  <c r="L50" i="5"/>
  <c r="G62" i="5"/>
  <c r="I50" i="5"/>
  <c r="H50" i="5"/>
  <c r="K50" i="5"/>
  <c r="J50" i="5"/>
  <c r="G50" i="5"/>
  <c r="E28" i="42"/>
  <c r="J26" i="42" s="1"/>
  <c r="C28" i="42"/>
  <c r="N28" i="45" s="1"/>
  <c r="F21" i="42" a="1"/>
  <c r="F23" i="42" a="1"/>
  <c r="G22" i="42" a="1"/>
  <c r="G23" i="42" a="1"/>
  <c r="F20" i="42" a="1"/>
  <c r="G20" i="42" a="1"/>
  <c r="F22" i="42" a="1"/>
  <c r="D20" i="42" a="1"/>
  <c r="G21" i="42" a="1"/>
  <c r="P28" i="48" l="1"/>
  <c r="N28" i="48"/>
  <c r="O19" i="48"/>
  <c r="D28" i="48"/>
  <c r="R19" i="48"/>
  <c r="G28" i="48"/>
  <c r="Q19" i="48"/>
  <c r="F28" i="48"/>
  <c r="Q28" i="46"/>
  <c r="R28" i="46"/>
  <c r="O19" i="46"/>
  <c r="N28" i="46"/>
  <c r="O19" i="45"/>
  <c r="R19" i="45"/>
  <c r="R19" i="46"/>
  <c r="Q19" i="45"/>
  <c r="Q19" i="46"/>
  <c r="P28" i="46"/>
  <c r="I28" i="45"/>
  <c r="D52" i="5"/>
  <c r="F75" i="5"/>
  <c r="R28" i="45"/>
  <c r="E52" i="5"/>
  <c r="Q28" i="45"/>
  <c r="F52" i="5"/>
  <c r="L18" i="42"/>
  <c r="L26" i="42"/>
  <c r="H27" i="42"/>
  <c r="H26" i="42"/>
  <c r="G21" i="42"/>
  <c r="G22" i="42"/>
  <c r="G23" i="42"/>
  <c r="G20" i="42"/>
  <c r="F21" i="42"/>
  <c r="F22" i="42"/>
  <c r="F20" i="42"/>
  <c r="F23" i="42"/>
  <c r="D20" i="42"/>
  <c r="E75" i="5"/>
  <c r="L64" i="5"/>
  <c r="D28" i="42"/>
  <c r="L52" i="5"/>
  <c r="F76" i="5"/>
  <c r="D76" i="5"/>
  <c r="E76" i="5"/>
  <c r="D75" i="5"/>
  <c r="F64" i="5"/>
  <c r="D51" i="5"/>
  <c r="E63" i="5"/>
  <c r="D63" i="5"/>
  <c r="K76" i="5"/>
  <c r="F63" i="5"/>
  <c r="D64" i="5"/>
  <c r="E64" i="5"/>
  <c r="J24" i="42"/>
  <c r="J28" i="42"/>
  <c r="I76" i="5"/>
  <c r="I75" i="5"/>
  <c r="G76" i="5"/>
  <c r="G75" i="5"/>
  <c r="E51" i="5"/>
  <c r="J76" i="5"/>
  <c r="J75" i="5"/>
  <c r="K75" i="5"/>
  <c r="H76" i="5"/>
  <c r="H75" i="5"/>
  <c r="F51" i="5"/>
  <c r="J19" i="42"/>
  <c r="L76" i="5"/>
  <c r="L75" i="5"/>
  <c r="K18" i="42"/>
  <c r="J64" i="5"/>
  <c r="J63" i="5"/>
  <c r="I64" i="5"/>
  <c r="I63" i="5"/>
  <c r="K64" i="5"/>
  <c r="K63" i="5"/>
  <c r="G64" i="5"/>
  <c r="G63" i="5"/>
  <c r="H64" i="5"/>
  <c r="H63" i="5"/>
  <c r="L63" i="5"/>
  <c r="K52" i="5"/>
  <c r="K51" i="5"/>
  <c r="H52" i="5"/>
  <c r="H51" i="5"/>
  <c r="J52" i="5"/>
  <c r="J51" i="5"/>
  <c r="G52" i="5"/>
  <c r="G51" i="5"/>
  <c r="I52" i="5"/>
  <c r="I51" i="5"/>
  <c r="L51" i="5"/>
  <c r="K19" i="42"/>
  <c r="K24" i="42"/>
  <c r="K28" i="42"/>
  <c r="K27" i="42"/>
  <c r="J27" i="42"/>
  <c r="K25" i="42"/>
  <c r="J25" i="42"/>
  <c r="J18" i="42"/>
  <c r="L27" i="42"/>
  <c r="L28" i="42"/>
  <c r="L25" i="42"/>
  <c r="L19" i="42"/>
  <c r="H28" i="42"/>
  <c r="H19" i="42"/>
  <c r="H25" i="42"/>
  <c r="H18" i="42"/>
  <c r="L24" i="42"/>
  <c r="H24" i="42"/>
  <c r="D22" i="42" a="1"/>
  <c r="D23" i="42" a="1"/>
  <c r="D21" i="42" a="1"/>
  <c r="Q28" i="48" l="1"/>
  <c r="K28" i="48"/>
  <c r="K25" i="48"/>
  <c r="K24" i="48"/>
  <c r="K27" i="48"/>
  <c r="K26" i="48"/>
  <c r="K18" i="48"/>
  <c r="K19" i="48"/>
  <c r="R28" i="48"/>
  <c r="L28" i="48"/>
  <c r="L25" i="48"/>
  <c r="L18" i="48"/>
  <c r="L26" i="48"/>
  <c r="L27" i="48"/>
  <c r="L24" i="48"/>
  <c r="L19" i="48"/>
  <c r="O28" i="48"/>
  <c r="I28" i="48"/>
  <c r="I25" i="48"/>
  <c r="I26" i="48"/>
  <c r="I27" i="48"/>
  <c r="I18" i="48"/>
  <c r="I24" i="48"/>
  <c r="I19" i="48"/>
  <c r="O28" i="46"/>
  <c r="I25" i="45"/>
  <c r="I26" i="45"/>
  <c r="I24" i="45"/>
  <c r="I27" i="45"/>
  <c r="I18" i="45"/>
  <c r="O28" i="45"/>
  <c r="L19" i="45"/>
  <c r="I19" i="45"/>
  <c r="K25" i="46"/>
  <c r="K28" i="46"/>
  <c r="K18" i="46"/>
  <c r="K24" i="46"/>
  <c r="K27" i="46"/>
  <c r="K26" i="46"/>
  <c r="K19" i="46"/>
  <c r="I28" i="46"/>
  <c r="I25" i="46"/>
  <c r="I18" i="46"/>
  <c r="I27" i="46"/>
  <c r="I24" i="46"/>
  <c r="I26" i="46"/>
  <c r="L25" i="46"/>
  <c r="L28" i="46"/>
  <c r="L18" i="46"/>
  <c r="L24" i="46"/>
  <c r="L26" i="46"/>
  <c r="L27" i="46"/>
  <c r="I19" i="46"/>
  <c r="L19" i="46"/>
  <c r="K28" i="45"/>
  <c r="K18" i="45"/>
  <c r="K25" i="45"/>
  <c r="K24" i="45"/>
  <c r="K27" i="45"/>
  <c r="K26" i="45"/>
  <c r="K19" i="45"/>
  <c r="L28" i="45"/>
  <c r="L25" i="45"/>
  <c r="L18" i="45"/>
  <c r="L26" i="45"/>
  <c r="L27" i="45"/>
  <c r="L24" i="45"/>
  <c r="I18" i="42"/>
  <c r="I26" i="42"/>
  <c r="I27" i="42"/>
  <c r="I25" i="42"/>
  <c r="I24" i="42"/>
  <c r="D21" i="42"/>
  <c r="D22" i="42"/>
  <c r="D23" i="42"/>
  <c r="I28" i="42"/>
  <c r="I19" i="42"/>
  <c r="K45" i="31" l="1"/>
  <c r="R45" i="31" s="1"/>
  <c r="J45" i="31"/>
  <c r="I45" i="31"/>
  <c r="H45" i="31"/>
  <c r="P45" i="31" s="1"/>
  <c r="G45" i="31"/>
  <c r="F45" i="31"/>
  <c r="E45" i="31"/>
  <c r="O45" i="31" s="1"/>
  <c r="D45" i="31"/>
  <c r="C45" i="31"/>
  <c r="B45" i="31"/>
  <c r="N45" i="31" s="1"/>
  <c r="S45" i="31" s="1"/>
  <c r="K42" i="31"/>
  <c r="R42" i="31" s="1"/>
  <c r="J42" i="31"/>
  <c r="I42" i="31"/>
  <c r="H42" i="31"/>
  <c r="P42" i="31" s="1"/>
  <c r="G42" i="31"/>
  <c r="F42" i="31"/>
  <c r="E42" i="31"/>
  <c r="O42" i="31" s="1"/>
  <c r="D42" i="31"/>
  <c r="C42" i="31"/>
  <c r="B42" i="31"/>
  <c r="N42" i="31" s="1"/>
  <c r="S42" i="31" s="1"/>
  <c r="A16" i="35"/>
  <c r="A15" i="35"/>
  <c r="A14" i="35"/>
  <c r="A13" i="35"/>
  <c r="K43" i="31" a="1"/>
  <c r="D47" i="31" a="1"/>
  <c r="D44" i="31" a="1"/>
  <c r="I44" i="31" a="1"/>
  <c r="K44" i="31" a="1"/>
  <c r="H47" i="31" a="1"/>
  <c r="I43" i="31" a="1"/>
  <c r="H46" i="31" a="1"/>
  <c r="I46" i="31" a="1"/>
  <c r="AB7" i="5" a="1"/>
  <c r="J46" i="31" a="1"/>
  <c r="Z7" i="5" a="1"/>
  <c r="F43" i="31" a="1"/>
  <c r="AA20" i="5" a="1"/>
  <c r="D46" i="31" a="1"/>
  <c r="G43" i="31" a="1"/>
  <c r="F47" i="31" a="1"/>
  <c r="K47" i="31" a="1"/>
  <c r="B47" i="31" a="1"/>
  <c r="AB20" i="5" a="1"/>
  <c r="B46" i="31" a="1"/>
  <c r="C44" i="31" a="1"/>
  <c r="C43" i="31" a="1"/>
  <c r="B44" i="31" a="1"/>
  <c r="G47" i="31" a="1"/>
  <c r="J47" i="31" a="1"/>
  <c r="AA7" i="5" a="1"/>
  <c r="J44" i="31" a="1"/>
  <c r="G46" i="31" a="1"/>
  <c r="H43" i="31" a="1"/>
  <c r="F46" i="31" a="1"/>
  <c r="E43" i="31" a="1"/>
  <c r="E44" i="31" a="1"/>
  <c r="F44" i="31" a="1"/>
  <c r="H44" i="31" a="1"/>
  <c r="E47" i="31" a="1"/>
  <c r="B43" i="31" a="1"/>
  <c r="K46" i="31" a="1"/>
  <c r="E46" i="31" a="1"/>
  <c r="J43" i="31" a="1"/>
  <c r="G44" i="31" a="1"/>
  <c r="Y7" i="5" a="1"/>
  <c r="I47" i="31" a="1"/>
  <c r="D43" i="31" a="1"/>
  <c r="C47" i="31" a="1"/>
  <c r="C46" i="31" a="1"/>
  <c r="T42" i="31" l="1"/>
  <c r="Q42" i="31"/>
  <c r="T45" i="31"/>
  <c r="Q45" i="31"/>
  <c r="I46" i="31"/>
  <c r="K46" i="31"/>
  <c r="R46" i="31" s="1"/>
  <c r="C47" i="31"/>
  <c r="D47" i="31"/>
  <c r="E47" i="31"/>
  <c r="O47" i="31" s="1"/>
  <c r="J46" i="31"/>
  <c r="C46" i="31"/>
  <c r="F47" i="31"/>
  <c r="D46" i="31"/>
  <c r="G47" i="31"/>
  <c r="E46" i="31"/>
  <c r="O46" i="31" s="1"/>
  <c r="H47" i="31"/>
  <c r="P47" i="31" s="1"/>
  <c r="F46" i="31"/>
  <c r="I47" i="31"/>
  <c r="G46" i="31"/>
  <c r="J47" i="31"/>
  <c r="H46" i="31"/>
  <c r="P46" i="31" s="1"/>
  <c r="K47" i="31"/>
  <c r="R47" i="31" s="1"/>
  <c r="B47" i="31"/>
  <c r="N47" i="31" s="1"/>
  <c r="S47" i="31" s="1"/>
  <c r="B46" i="31"/>
  <c r="N46" i="31" s="1"/>
  <c r="S46" i="31" s="1"/>
  <c r="H44" i="31"/>
  <c r="P44" i="31" s="1"/>
  <c r="G44" i="31"/>
  <c r="I44" i="31"/>
  <c r="J44" i="31"/>
  <c r="K44" i="31"/>
  <c r="R44" i="31" s="1"/>
  <c r="E44" i="31"/>
  <c r="O44" i="31" s="1"/>
  <c r="F44" i="31"/>
  <c r="C44" i="31"/>
  <c r="D44" i="31"/>
  <c r="B44" i="31"/>
  <c r="N44" i="31" s="1"/>
  <c r="S44" i="31" s="1"/>
  <c r="C43" i="31"/>
  <c r="D43" i="31"/>
  <c r="E43" i="31"/>
  <c r="O43" i="31" s="1"/>
  <c r="F43" i="31"/>
  <c r="G43" i="31"/>
  <c r="H43" i="31"/>
  <c r="P43" i="31" s="1"/>
  <c r="I43" i="31"/>
  <c r="J43" i="31"/>
  <c r="K43" i="31"/>
  <c r="R43" i="31" s="1"/>
  <c r="B43" i="31"/>
  <c r="N43" i="31" s="1"/>
  <c r="S43" i="31" s="1"/>
  <c r="Y7" i="5"/>
  <c r="AA7" i="5"/>
  <c r="AB7" i="5"/>
  <c r="AA20" i="5"/>
  <c r="AB20" i="5"/>
  <c r="Z7" i="5"/>
  <c r="AO24" i="5"/>
  <c r="AO23" i="5"/>
  <c r="AO22" i="5"/>
  <c r="AO21" i="5"/>
  <c r="AO20" i="5"/>
  <c r="AO19" i="5"/>
  <c r="AO25" i="5" s="1"/>
  <c r="AM24" i="5"/>
  <c r="AM23" i="5"/>
  <c r="AM22" i="5"/>
  <c r="AM21" i="5"/>
  <c r="AM20" i="5"/>
  <c r="AM19" i="5"/>
  <c r="AN24" i="5"/>
  <c r="AN23" i="5"/>
  <c r="AN22" i="5"/>
  <c r="AN21" i="5"/>
  <c r="AN20" i="5"/>
  <c r="AN19" i="5"/>
  <c r="AL24" i="5"/>
  <c r="AL23" i="5"/>
  <c r="AL22" i="5"/>
  <c r="AL21" i="5"/>
  <c r="AL20" i="5"/>
  <c r="AL19" i="5"/>
  <c r="AK24" i="5"/>
  <c r="AK23" i="5"/>
  <c r="AK22" i="5"/>
  <c r="AK21" i="5"/>
  <c r="AK20" i="5"/>
  <c r="AK19" i="5"/>
  <c r="AH58" i="5"/>
  <c r="AG58" i="5"/>
  <c r="AF58" i="5"/>
  <c r="AE58" i="5"/>
  <c r="AD58" i="5"/>
  <c r="AC58" i="5"/>
  <c r="AB58" i="5"/>
  <c r="AA58" i="5"/>
  <c r="Z58" i="5"/>
  <c r="Y58" i="5"/>
  <c r="AO6" i="5" s="1"/>
  <c r="AH45" i="5"/>
  <c r="AG45" i="5"/>
  <c r="AF45" i="5"/>
  <c r="AE45" i="5"/>
  <c r="AD45" i="5"/>
  <c r="AC45" i="5"/>
  <c r="AB45" i="5"/>
  <c r="AA45" i="5"/>
  <c r="Z45" i="5"/>
  <c r="Y45" i="5"/>
  <c r="AN6" i="5" s="1"/>
  <c r="AH32" i="5"/>
  <c r="AG32" i="5"/>
  <c r="AF32" i="5"/>
  <c r="AE32" i="5"/>
  <c r="AD32" i="5"/>
  <c r="AC32" i="5"/>
  <c r="AB32" i="5"/>
  <c r="AA32" i="5"/>
  <c r="Z32" i="5"/>
  <c r="Y32" i="5"/>
  <c r="AM6" i="5" s="1"/>
  <c r="L24" i="5"/>
  <c r="K24" i="5"/>
  <c r="J24" i="5"/>
  <c r="I24" i="5"/>
  <c r="H24" i="5"/>
  <c r="G24" i="5"/>
  <c r="F24" i="5"/>
  <c r="E24" i="5"/>
  <c r="D24" i="5"/>
  <c r="C24" i="5"/>
  <c r="AH19" i="5"/>
  <c r="AG19" i="5"/>
  <c r="AF19" i="5"/>
  <c r="AE19" i="5"/>
  <c r="AD19" i="5"/>
  <c r="AC19" i="5"/>
  <c r="AB19" i="5"/>
  <c r="AA19" i="5"/>
  <c r="Z19" i="5"/>
  <c r="Y19" i="5"/>
  <c r="AL6" i="5" s="1"/>
  <c r="AH6" i="5"/>
  <c r="AG6" i="5"/>
  <c r="AF6" i="5"/>
  <c r="AE6" i="5"/>
  <c r="AD6" i="5"/>
  <c r="AC6" i="5"/>
  <c r="AB6" i="5"/>
  <c r="AA6" i="5"/>
  <c r="Z6" i="5"/>
  <c r="Y6" i="5"/>
  <c r="AK6" i="5" s="1"/>
  <c r="L6" i="5"/>
  <c r="K6" i="5"/>
  <c r="J6" i="5"/>
  <c r="I6" i="5"/>
  <c r="H6" i="5"/>
  <c r="G6" i="5"/>
  <c r="F6" i="5"/>
  <c r="E6" i="5"/>
  <c r="D6" i="5"/>
  <c r="C6" i="5"/>
  <c r="Z20" i="5" a="1"/>
  <c r="C4" i="42" l="1"/>
  <c r="T4" i="42" s="1"/>
  <c r="AM25" i="5"/>
  <c r="AT20" i="5" s="1"/>
  <c r="AT24" i="5"/>
  <c r="AL25" i="5"/>
  <c r="AS23" i="5" s="1"/>
  <c r="T47" i="31"/>
  <c r="Q47" i="31"/>
  <c r="T43" i="31"/>
  <c r="Q43" i="31"/>
  <c r="T46" i="31"/>
  <c r="Q46" i="31"/>
  <c r="T44" i="31"/>
  <c r="Q44" i="31"/>
  <c r="Z20" i="5"/>
  <c r="AV22" i="5"/>
  <c r="AV23" i="5"/>
  <c r="AV24" i="5"/>
  <c r="AV21" i="5"/>
  <c r="AV20" i="5"/>
  <c r="AV19" i="5"/>
  <c r="AK25" i="5"/>
  <c r="AR21" i="5" s="1"/>
  <c r="AN25" i="5"/>
  <c r="AT19" i="5"/>
  <c r="E9" i="5"/>
  <c r="C13" i="42" l="1"/>
  <c r="AT23" i="5"/>
  <c r="AT22" i="5"/>
  <c r="AS20" i="5"/>
  <c r="AS24" i="5"/>
  <c r="AS19" i="5"/>
  <c r="AT21" i="5"/>
  <c r="AS22" i="5"/>
  <c r="AS21" i="5"/>
  <c r="AU19" i="5"/>
  <c r="AU20" i="5"/>
  <c r="AR19" i="5"/>
  <c r="AR24" i="5"/>
  <c r="AU21" i="5"/>
  <c r="AR20" i="5"/>
  <c r="AU23" i="5"/>
  <c r="AR23" i="5"/>
  <c r="AR22" i="5"/>
  <c r="AU24" i="5"/>
  <c r="AU22" i="5"/>
  <c r="AH35" i="5"/>
  <c r="AG35" i="5"/>
  <c r="AF35" i="5"/>
  <c r="AE35" i="5"/>
  <c r="AD35" i="5"/>
  <c r="AC35" i="5"/>
  <c r="AB35" i="5"/>
  <c r="AA35" i="5"/>
  <c r="Z35" i="5"/>
  <c r="AH48" i="5"/>
  <c r="AG48" i="5"/>
  <c r="AF48" i="5"/>
  <c r="AE48" i="5"/>
  <c r="AD48" i="5"/>
  <c r="AC48" i="5"/>
  <c r="AB48" i="5"/>
  <c r="AA48" i="5"/>
  <c r="Z48" i="5"/>
  <c r="AH61" i="5"/>
  <c r="AG61" i="5"/>
  <c r="AF61" i="5"/>
  <c r="AE61" i="5"/>
  <c r="AD61" i="5"/>
  <c r="AC61" i="5"/>
  <c r="AB61" i="5"/>
  <c r="AA61" i="5"/>
  <c r="Z61" i="5"/>
  <c r="Y61" i="5"/>
  <c r="Y48" i="5"/>
  <c r="Y35" i="5"/>
  <c r="AH22" i="5"/>
  <c r="AG22" i="5"/>
  <c r="AF22" i="5"/>
  <c r="AE22" i="5"/>
  <c r="AD22" i="5"/>
  <c r="AC22" i="5"/>
  <c r="AB22" i="5"/>
  <c r="AA22" i="5"/>
  <c r="Z22" i="5"/>
  <c r="Y22" i="5"/>
  <c r="AH9" i="5"/>
  <c r="AG9" i="5"/>
  <c r="AF9" i="5"/>
  <c r="AE9" i="5"/>
  <c r="AD9" i="5"/>
  <c r="AC9" i="5"/>
  <c r="AB9" i="5"/>
  <c r="AA9" i="5"/>
  <c r="Z9" i="5"/>
  <c r="Y9" i="5"/>
  <c r="V92" i="38"/>
  <c r="U92" i="38"/>
  <c r="T92" i="38"/>
  <c r="S92" i="38"/>
  <c r="R92" i="38"/>
  <c r="Q92" i="38"/>
  <c r="P92" i="38"/>
  <c r="O92" i="38"/>
  <c r="N92" i="38"/>
  <c r="M92" i="38"/>
  <c r="L92" i="38"/>
  <c r="K92" i="38"/>
  <c r="J92" i="38"/>
  <c r="I92" i="38"/>
  <c r="H92" i="38"/>
  <c r="G92" i="38"/>
  <c r="F92" i="38"/>
  <c r="E92" i="38"/>
  <c r="D92" i="38"/>
  <c r="C92" i="38"/>
  <c r="B92" i="38"/>
  <c r="V91" i="38"/>
  <c r="U91" i="38"/>
  <c r="T91" i="38"/>
  <c r="S91" i="38"/>
  <c r="R91" i="38"/>
  <c r="Q91" i="38"/>
  <c r="P91" i="38"/>
  <c r="O91" i="38"/>
  <c r="N91" i="38"/>
  <c r="M91" i="38"/>
  <c r="L91" i="38"/>
  <c r="K91" i="38"/>
  <c r="J91" i="38"/>
  <c r="I91" i="38"/>
  <c r="H91" i="38"/>
  <c r="G91" i="38"/>
  <c r="F91" i="38"/>
  <c r="E91" i="38"/>
  <c r="D91" i="38"/>
  <c r="C91" i="38"/>
  <c r="B91" i="38"/>
  <c r="V90" i="38"/>
  <c r="U90" i="38"/>
  <c r="T90" i="38"/>
  <c r="S90" i="38"/>
  <c r="R90" i="38"/>
  <c r="Q90" i="38"/>
  <c r="P90" i="38"/>
  <c r="O90" i="38"/>
  <c r="N90" i="38"/>
  <c r="M90" i="38"/>
  <c r="L90" i="38"/>
  <c r="K90" i="38"/>
  <c r="J90" i="38"/>
  <c r="I90" i="38"/>
  <c r="H90" i="38"/>
  <c r="G90" i="38"/>
  <c r="F90" i="38"/>
  <c r="E90" i="38"/>
  <c r="D90" i="38"/>
  <c r="C90" i="38"/>
  <c r="B90" i="38"/>
  <c r="V89" i="38"/>
  <c r="U89" i="38"/>
  <c r="T89" i="38"/>
  <c r="S89" i="38"/>
  <c r="R89" i="38"/>
  <c r="Q89" i="38"/>
  <c r="P89" i="38"/>
  <c r="O89" i="38"/>
  <c r="N89" i="38"/>
  <c r="M89" i="38"/>
  <c r="L89" i="38"/>
  <c r="K89" i="38"/>
  <c r="J89" i="38"/>
  <c r="I89" i="38"/>
  <c r="H89" i="38"/>
  <c r="G89" i="38"/>
  <c r="F89" i="38"/>
  <c r="E89" i="38"/>
  <c r="D89" i="38"/>
  <c r="C89" i="38"/>
  <c r="B89" i="38"/>
  <c r="V61" i="38"/>
  <c r="U61" i="38"/>
  <c r="T61" i="38"/>
  <c r="S61" i="38"/>
  <c r="R61" i="38"/>
  <c r="Q61" i="38"/>
  <c r="P61" i="38"/>
  <c r="O61" i="38"/>
  <c r="N61" i="38"/>
  <c r="M61" i="38"/>
  <c r="L61" i="38"/>
  <c r="K61" i="38"/>
  <c r="J61" i="38"/>
  <c r="I61" i="38"/>
  <c r="H61" i="38"/>
  <c r="G61" i="38"/>
  <c r="F61" i="38"/>
  <c r="E61" i="38"/>
  <c r="D61" i="38"/>
  <c r="C61" i="38"/>
  <c r="B61" i="38"/>
  <c r="V60" i="38"/>
  <c r="U60" i="38"/>
  <c r="T60" i="38"/>
  <c r="S60" i="38"/>
  <c r="R60" i="38"/>
  <c r="Q60" i="38"/>
  <c r="P60" i="38"/>
  <c r="O60" i="38"/>
  <c r="N60" i="38"/>
  <c r="M60" i="38"/>
  <c r="L60" i="38"/>
  <c r="K60" i="38"/>
  <c r="J60" i="38"/>
  <c r="I60" i="38"/>
  <c r="H60" i="38"/>
  <c r="G60" i="38"/>
  <c r="F60" i="38"/>
  <c r="E60" i="38"/>
  <c r="D60" i="38"/>
  <c r="C60" i="38"/>
  <c r="B60" i="38"/>
  <c r="V59" i="38"/>
  <c r="U59" i="38"/>
  <c r="T59" i="38"/>
  <c r="S59" i="38"/>
  <c r="R59" i="38"/>
  <c r="Q59" i="38"/>
  <c r="P59" i="38"/>
  <c r="O59" i="38"/>
  <c r="N59" i="38"/>
  <c r="M59" i="38"/>
  <c r="L59" i="38"/>
  <c r="K59" i="38"/>
  <c r="J59" i="38"/>
  <c r="I59" i="38"/>
  <c r="H59" i="38"/>
  <c r="G59" i="38"/>
  <c r="F59" i="38"/>
  <c r="E59" i="38"/>
  <c r="D59" i="38"/>
  <c r="C59" i="38"/>
  <c r="B59" i="38"/>
  <c r="V58" i="38"/>
  <c r="U58" i="38"/>
  <c r="T58" i="38"/>
  <c r="S58" i="38"/>
  <c r="R58" i="38"/>
  <c r="Q58" i="38"/>
  <c r="P58" i="38"/>
  <c r="O58" i="38"/>
  <c r="N58" i="38"/>
  <c r="M58" i="38"/>
  <c r="L58" i="38"/>
  <c r="K58" i="38"/>
  <c r="J58" i="38"/>
  <c r="I58" i="38"/>
  <c r="H58" i="38"/>
  <c r="G58" i="38"/>
  <c r="F58" i="38"/>
  <c r="E58" i="38"/>
  <c r="D58" i="38"/>
  <c r="C58" i="38"/>
  <c r="B58" i="38"/>
  <c r="V30" i="38"/>
  <c r="U30" i="38"/>
  <c r="T30" i="38"/>
  <c r="S30" i="38"/>
  <c r="R30" i="38"/>
  <c r="Q30" i="38"/>
  <c r="P30" i="38"/>
  <c r="O30" i="38"/>
  <c r="N30" i="38"/>
  <c r="M30" i="38"/>
  <c r="L30" i="38"/>
  <c r="K30" i="38"/>
  <c r="J30" i="38"/>
  <c r="I30" i="38"/>
  <c r="H30" i="38"/>
  <c r="G30" i="38"/>
  <c r="F30" i="38"/>
  <c r="E30" i="38"/>
  <c r="D30" i="38"/>
  <c r="C30" i="38"/>
  <c r="B30" i="38"/>
  <c r="V29" i="38"/>
  <c r="U29" i="38"/>
  <c r="T29" i="38"/>
  <c r="S29" i="38"/>
  <c r="R29" i="38"/>
  <c r="Q29" i="38"/>
  <c r="P29" i="38"/>
  <c r="O29" i="38"/>
  <c r="N29" i="38"/>
  <c r="M29" i="38"/>
  <c r="L29" i="38"/>
  <c r="K29" i="38"/>
  <c r="J29" i="38"/>
  <c r="I29" i="38"/>
  <c r="H29" i="38"/>
  <c r="G29" i="38"/>
  <c r="F29" i="38"/>
  <c r="E29" i="38"/>
  <c r="D29" i="38"/>
  <c r="C29" i="38"/>
  <c r="B29" i="38"/>
  <c r="V28" i="38"/>
  <c r="U28" i="38"/>
  <c r="T28" i="38"/>
  <c r="S28" i="38"/>
  <c r="R28" i="38"/>
  <c r="Q28" i="38"/>
  <c r="P28" i="38"/>
  <c r="O28" i="38"/>
  <c r="N28" i="38"/>
  <c r="M28" i="38"/>
  <c r="L28" i="38"/>
  <c r="K28" i="38"/>
  <c r="J28" i="38"/>
  <c r="I28" i="38"/>
  <c r="H28" i="38"/>
  <c r="G28" i="38"/>
  <c r="F28" i="38"/>
  <c r="E28" i="38"/>
  <c r="D28" i="38"/>
  <c r="C28" i="38"/>
  <c r="B28" i="38"/>
  <c r="V27" i="38"/>
  <c r="U27" i="38"/>
  <c r="T27" i="38"/>
  <c r="S27" i="38"/>
  <c r="R27" i="38"/>
  <c r="Q27" i="38"/>
  <c r="P27" i="38"/>
  <c r="O27" i="38"/>
  <c r="N27" i="38"/>
  <c r="M27" i="38"/>
  <c r="L27" i="38"/>
  <c r="K27" i="38"/>
  <c r="J27" i="38"/>
  <c r="I27" i="38"/>
  <c r="H27" i="38"/>
  <c r="G27" i="38"/>
  <c r="F27" i="38"/>
  <c r="E27" i="38"/>
  <c r="D27" i="38"/>
  <c r="C27" i="38"/>
  <c r="B27" i="38"/>
  <c r="V92" i="37"/>
  <c r="U92" i="37"/>
  <c r="T92" i="37"/>
  <c r="S92" i="37"/>
  <c r="R92" i="37"/>
  <c r="Q92" i="37"/>
  <c r="P92" i="37"/>
  <c r="O92" i="37"/>
  <c r="N92" i="37"/>
  <c r="M92" i="37"/>
  <c r="L92" i="37"/>
  <c r="K92" i="37"/>
  <c r="J92" i="37"/>
  <c r="I92" i="37"/>
  <c r="H92" i="37"/>
  <c r="G92" i="37"/>
  <c r="F92" i="37"/>
  <c r="E92" i="37"/>
  <c r="D92" i="37"/>
  <c r="C92" i="37"/>
  <c r="B92" i="37"/>
  <c r="V91" i="37"/>
  <c r="U91" i="37"/>
  <c r="T91" i="37"/>
  <c r="S91" i="37"/>
  <c r="R91" i="37"/>
  <c r="Q91" i="37"/>
  <c r="P91" i="37"/>
  <c r="O91" i="37"/>
  <c r="N91" i="37"/>
  <c r="M91" i="37"/>
  <c r="L91" i="37"/>
  <c r="K91" i="37"/>
  <c r="J91" i="37"/>
  <c r="I91" i="37"/>
  <c r="H91" i="37"/>
  <c r="G91" i="37"/>
  <c r="F91" i="37"/>
  <c r="E91" i="37"/>
  <c r="D91" i="37"/>
  <c r="C91" i="37"/>
  <c r="B91" i="37"/>
  <c r="V90" i="37"/>
  <c r="U90" i="37"/>
  <c r="T90" i="37"/>
  <c r="S90" i="37"/>
  <c r="R90" i="37"/>
  <c r="Q90" i="37"/>
  <c r="P90" i="37"/>
  <c r="O90" i="37"/>
  <c r="N90" i="37"/>
  <c r="M90" i="37"/>
  <c r="L90" i="37"/>
  <c r="K90" i="37"/>
  <c r="J90" i="37"/>
  <c r="I90" i="37"/>
  <c r="H90" i="37"/>
  <c r="G90" i="37"/>
  <c r="F90" i="37"/>
  <c r="E90" i="37"/>
  <c r="D90" i="37"/>
  <c r="C90" i="37"/>
  <c r="B90" i="37"/>
  <c r="V89" i="37"/>
  <c r="U89" i="37"/>
  <c r="T89" i="37"/>
  <c r="S89" i="37"/>
  <c r="R89" i="37"/>
  <c r="Q89" i="37"/>
  <c r="P89" i="37"/>
  <c r="O89" i="37"/>
  <c r="N89" i="37"/>
  <c r="M89" i="37"/>
  <c r="L89" i="37"/>
  <c r="K89" i="37"/>
  <c r="J89" i="37"/>
  <c r="I89" i="37"/>
  <c r="H89" i="37"/>
  <c r="G89" i="37"/>
  <c r="F89" i="37"/>
  <c r="E89" i="37"/>
  <c r="D89" i="37"/>
  <c r="C89" i="37"/>
  <c r="B89" i="37"/>
  <c r="V61" i="37"/>
  <c r="U61" i="37"/>
  <c r="T61" i="37"/>
  <c r="S61" i="37"/>
  <c r="R61" i="37"/>
  <c r="Q61" i="37"/>
  <c r="P61" i="37"/>
  <c r="O61" i="37"/>
  <c r="N61" i="37"/>
  <c r="M61" i="37"/>
  <c r="L61" i="37"/>
  <c r="K61" i="37"/>
  <c r="J61" i="37"/>
  <c r="I61" i="37"/>
  <c r="H61" i="37"/>
  <c r="G61" i="37"/>
  <c r="F61" i="37"/>
  <c r="E61" i="37"/>
  <c r="D61" i="37"/>
  <c r="C61" i="37"/>
  <c r="B61" i="37"/>
  <c r="V60" i="37"/>
  <c r="U60" i="37"/>
  <c r="T60" i="37"/>
  <c r="S60" i="37"/>
  <c r="R60" i="37"/>
  <c r="Q60" i="37"/>
  <c r="P60" i="37"/>
  <c r="O60" i="37"/>
  <c r="N60" i="37"/>
  <c r="M60" i="37"/>
  <c r="L60" i="37"/>
  <c r="K60" i="37"/>
  <c r="J60" i="37"/>
  <c r="I60" i="37"/>
  <c r="H60" i="37"/>
  <c r="G60" i="37"/>
  <c r="F60" i="37"/>
  <c r="E60" i="37"/>
  <c r="D60" i="37"/>
  <c r="C60" i="37"/>
  <c r="B60" i="37"/>
  <c r="V59" i="37"/>
  <c r="U59" i="37"/>
  <c r="T59" i="37"/>
  <c r="S59" i="37"/>
  <c r="R59" i="37"/>
  <c r="Q59" i="37"/>
  <c r="P59" i="37"/>
  <c r="O59" i="37"/>
  <c r="N59" i="37"/>
  <c r="M59" i="37"/>
  <c r="L59" i="37"/>
  <c r="K59" i="37"/>
  <c r="J59" i="37"/>
  <c r="I59" i="37"/>
  <c r="H59" i="37"/>
  <c r="G59" i="37"/>
  <c r="F59" i="37"/>
  <c r="E59" i="37"/>
  <c r="D59" i="37"/>
  <c r="C59" i="37"/>
  <c r="B59" i="37"/>
  <c r="V58" i="37"/>
  <c r="U58" i="37"/>
  <c r="T58" i="37"/>
  <c r="S58" i="37"/>
  <c r="R58" i="37"/>
  <c r="Q58" i="37"/>
  <c r="P58" i="37"/>
  <c r="O58" i="37"/>
  <c r="N58" i="37"/>
  <c r="M58" i="37"/>
  <c r="L58" i="37"/>
  <c r="K58" i="37"/>
  <c r="J58" i="37"/>
  <c r="I58" i="37"/>
  <c r="H58" i="37"/>
  <c r="G58" i="37"/>
  <c r="F58" i="37"/>
  <c r="E58" i="37"/>
  <c r="D58" i="37"/>
  <c r="C58" i="37"/>
  <c r="B58" i="37"/>
  <c r="V30" i="37"/>
  <c r="U30" i="37"/>
  <c r="T30" i="37"/>
  <c r="S30" i="37"/>
  <c r="R30" i="37"/>
  <c r="Q30" i="37"/>
  <c r="P30" i="37"/>
  <c r="O30" i="37"/>
  <c r="N30" i="37"/>
  <c r="M30" i="37"/>
  <c r="L30" i="37"/>
  <c r="K30" i="37"/>
  <c r="J30" i="37"/>
  <c r="I30" i="37"/>
  <c r="H30" i="37"/>
  <c r="G30" i="37"/>
  <c r="F30" i="37"/>
  <c r="E30" i="37"/>
  <c r="D30" i="37"/>
  <c r="C30" i="37"/>
  <c r="B30" i="37"/>
  <c r="V29" i="37"/>
  <c r="U29" i="37"/>
  <c r="T29" i="37"/>
  <c r="S29" i="37"/>
  <c r="R29" i="37"/>
  <c r="Q29" i="37"/>
  <c r="P29" i="37"/>
  <c r="O29" i="37"/>
  <c r="N29" i="37"/>
  <c r="M29" i="37"/>
  <c r="L29" i="37"/>
  <c r="K29" i="37"/>
  <c r="J29" i="37"/>
  <c r="I29" i="37"/>
  <c r="H29" i="37"/>
  <c r="G29" i="37"/>
  <c r="F29" i="37"/>
  <c r="E29" i="37"/>
  <c r="D29" i="37"/>
  <c r="C29" i="37"/>
  <c r="B29" i="37"/>
  <c r="V28" i="37"/>
  <c r="U28" i="37"/>
  <c r="T28" i="37"/>
  <c r="S28" i="37"/>
  <c r="R28" i="37"/>
  <c r="Q28" i="37"/>
  <c r="P28" i="37"/>
  <c r="O28" i="37"/>
  <c r="N28" i="37"/>
  <c r="M28" i="37"/>
  <c r="L28" i="37"/>
  <c r="K28" i="37"/>
  <c r="J28" i="37"/>
  <c r="I28" i="37"/>
  <c r="H28" i="37"/>
  <c r="G28" i="37"/>
  <c r="F28" i="37"/>
  <c r="E28" i="37"/>
  <c r="D28" i="37"/>
  <c r="C28" i="37"/>
  <c r="B28" i="37"/>
  <c r="V27" i="37"/>
  <c r="U27" i="37"/>
  <c r="T27" i="37"/>
  <c r="S27" i="37"/>
  <c r="R27" i="37"/>
  <c r="Q27" i="37"/>
  <c r="P27" i="37"/>
  <c r="O27" i="37"/>
  <c r="N27" i="37"/>
  <c r="M27" i="37"/>
  <c r="L27" i="37"/>
  <c r="K27" i="37"/>
  <c r="J27" i="37"/>
  <c r="I27" i="37"/>
  <c r="H27" i="37"/>
  <c r="G27" i="37"/>
  <c r="F27" i="37"/>
  <c r="E27" i="37"/>
  <c r="D27" i="37"/>
  <c r="C27" i="37"/>
  <c r="B27" i="37"/>
  <c r="V92" i="36"/>
  <c r="U92" i="36"/>
  <c r="T92" i="36"/>
  <c r="S92" i="36"/>
  <c r="R92" i="36"/>
  <c r="Q92" i="36"/>
  <c r="P92" i="36"/>
  <c r="O92" i="36"/>
  <c r="N92" i="36"/>
  <c r="M92" i="36"/>
  <c r="L92" i="36"/>
  <c r="K92" i="36"/>
  <c r="J92" i="36"/>
  <c r="I92" i="36"/>
  <c r="H92" i="36"/>
  <c r="G92" i="36"/>
  <c r="F92" i="36"/>
  <c r="E92" i="36"/>
  <c r="D92" i="36"/>
  <c r="C92" i="36"/>
  <c r="B92" i="36"/>
  <c r="V91" i="36"/>
  <c r="U91" i="36"/>
  <c r="T91" i="36"/>
  <c r="S91" i="36"/>
  <c r="R91" i="36"/>
  <c r="Q91" i="36"/>
  <c r="P91" i="36"/>
  <c r="O91" i="36"/>
  <c r="N91" i="36"/>
  <c r="M91" i="36"/>
  <c r="L91" i="36"/>
  <c r="K91" i="36"/>
  <c r="J91" i="36"/>
  <c r="I91" i="36"/>
  <c r="H91" i="36"/>
  <c r="G91" i="36"/>
  <c r="F91" i="36"/>
  <c r="E91" i="36"/>
  <c r="D91" i="36"/>
  <c r="C91" i="36"/>
  <c r="B91" i="36"/>
  <c r="V90" i="36"/>
  <c r="U90" i="36"/>
  <c r="T90" i="36"/>
  <c r="S90" i="36"/>
  <c r="R90" i="36"/>
  <c r="Q90" i="36"/>
  <c r="P90" i="36"/>
  <c r="O90" i="36"/>
  <c r="N90" i="36"/>
  <c r="M90" i="36"/>
  <c r="L90" i="36"/>
  <c r="K90" i="36"/>
  <c r="J90" i="36"/>
  <c r="I90" i="36"/>
  <c r="H90" i="36"/>
  <c r="G90" i="36"/>
  <c r="F90" i="36"/>
  <c r="E90" i="36"/>
  <c r="D90" i="36"/>
  <c r="C90" i="36"/>
  <c r="B90" i="36"/>
  <c r="V89" i="36"/>
  <c r="U89" i="36"/>
  <c r="T89" i="36"/>
  <c r="S89" i="36"/>
  <c r="R89" i="36"/>
  <c r="Q89" i="36"/>
  <c r="P89" i="36"/>
  <c r="O89" i="36"/>
  <c r="N89" i="36"/>
  <c r="M89" i="36"/>
  <c r="L89" i="36"/>
  <c r="K89" i="36"/>
  <c r="J89" i="36"/>
  <c r="I89" i="36"/>
  <c r="H89" i="36"/>
  <c r="G89" i="36"/>
  <c r="F89" i="36"/>
  <c r="E89" i="36"/>
  <c r="D89" i="36"/>
  <c r="C89" i="36"/>
  <c r="B89" i="36"/>
  <c r="V61" i="36"/>
  <c r="U61" i="36"/>
  <c r="T61" i="36"/>
  <c r="S61" i="36"/>
  <c r="R61" i="36"/>
  <c r="Q61" i="36"/>
  <c r="P61" i="36"/>
  <c r="O61" i="36"/>
  <c r="N61" i="36"/>
  <c r="M61" i="36"/>
  <c r="L61" i="36"/>
  <c r="K61" i="36"/>
  <c r="J61" i="36"/>
  <c r="I61" i="36"/>
  <c r="H61" i="36"/>
  <c r="G61" i="36"/>
  <c r="F61" i="36"/>
  <c r="E61" i="36"/>
  <c r="D61" i="36"/>
  <c r="C61" i="36"/>
  <c r="B61" i="36"/>
  <c r="V60" i="36"/>
  <c r="U60" i="36"/>
  <c r="T60" i="36"/>
  <c r="S60" i="36"/>
  <c r="R60" i="36"/>
  <c r="Q60" i="36"/>
  <c r="P60" i="36"/>
  <c r="O60" i="36"/>
  <c r="N60" i="36"/>
  <c r="M60" i="36"/>
  <c r="L60" i="36"/>
  <c r="K60" i="36"/>
  <c r="J60" i="36"/>
  <c r="I60" i="36"/>
  <c r="H60" i="36"/>
  <c r="G60" i="36"/>
  <c r="F60" i="36"/>
  <c r="E60" i="36"/>
  <c r="D60" i="36"/>
  <c r="C60" i="36"/>
  <c r="B60" i="36"/>
  <c r="V59" i="36"/>
  <c r="U59" i="36"/>
  <c r="T59" i="36"/>
  <c r="S59" i="36"/>
  <c r="R59" i="36"/>
  <c r="Q59" i="36"/>
  <c r="P59" i="36"/>
  <c r="O59" i="36"/>
  <c r="N59" i="36"/>
  <c r="M59" i="36"/>
  <c r="L59" i="36"/>
  <c r="K59" i="36"/>
  <c r="J59" i="36"/>
  <c r="I59" i="36"/>
  <c r="H59" i="36"/>
  <c r="G59" i="36"/>
  <c r="F59" i="36"/>
  <c r="E59" i="36"/>
  <c r="D59" i="36"/>
  <c r="C59" i="36"/>
  <c r="B59" i="36"/>
  <c r="V58" i="36"/>
  <c r="U58" i="36"/>
  <c r="T58" i="36"/>
  <c r="S58" i="36"/>
  <c r="R58" i="36"/>
  <c r="Q58" i="36"/>
  <c r="P58" i="36"/>
  <c r="O58" i="36"/>
  <c r="N58" i="36"/>
  <c r="M58" i="36"/>
  <c r="L58" i="36"/>
  <c r="K58" i="36"/>
  <c r="J58" i="36"/>
  <c r="I58" i="36"/>
  <c r="H58" i="36"/>
  <c r="G58" i="36"/>
  <c r="F58" i="36"/>
  <c r="E58" i="36"/>
  <c r="D58" i="36"/>
  <c r="C58" i="36"/>
  <c r="B58" i="36"/>
  <c r="V30" i="36"/>
  <c r="U30" i="36"/>
  <c r="T30" i="36"/>
  <c r="S30" i="36"/>
  <c r="R30" i="36"/>
  <c r="Q30" i="36"/>
  <c r="P30" i="36"/>
  <c r="O30" i="36"/>
  <c r="N30" i="36"/>
  <c r="M30" i="36"/>
  <c r="L30" i="36"/>
  <c r="K30" i="36"/>
  <c r="J30" i="36"/>
  <c r="I30" i="36"/>
  <c r="H30" i="36"/>
  <c r="G30" i="36"/>
  <c r="F30" i="36"/>
  <c r="E30" i="36"/>
  <c r="D30" i="36"/>
  <c r="C30" i="36"/>
  <c r="B30" i="36"/>
  <c r="V29" i="36"/>
  <c r="U29" i="36"/>
  <c r="T29" i="36"/>
  <c r="S29" i="36"/>
  <c r="R29" i="36"/>
  <c r="Q29" i="36"/>
  <c r="P29" i="36"/>
  <c r="O29" i="36"/>
  <c r="N29" i="36"/>
  <c r="M29" i="36"/>
  <c r="L29" i="36"/>
  <c r="K29" i="36"/>
  <c r="J29" i="36"/>
  <c r="I29" i="36"/>
  <c r="H29" i="36"/>
  <c r="G29" i="36"/>
  <c r="F29" i="36"/>
  <c r="E29" i="36"/>
  <c r="D29" i="36"/>
  <c r="C29" i="36"/>
  <c r="B29" i="36"/>
  <c r="V28" i="36"/>
  <c r="U28" i="36"/>
  <c r="T28" i="36"/>
  <c r="S28" i="36"/>
  <c r="R28" i="36"/>
  <c r="Q28" i="36"/>
  <c r="P28" i="36"/>
  <c r="O28" i="36"/>
  <c r="N28" i="36"/>
  <c r="M28" i="36"/>
  <c r="L28" i="36"/>
  <c r="K28" i="36"/>
  <c r="J28" i="36"/>
  <c r="I28" i="36"/>
  <c r="H28" i="36"/>
  <c r="G28" i="36"/>
  <c r="F28" i="36"/>
  <c r="E28" i="36"/>
  <c r="D28" i="36"/>
  <c r="C28" i="36"/>
  <c r="B28" i="36"/>
  <c r="V27" i="36"/>
  <c r="U27" i="36"/>
  <c r="T27" i="36"/>
  <c r="S27" i="36"/>
  <c r="R27" i="36"/>
  <c r="Q27" i="36"/>
  <c r="P27" i="36"/>
  <c r="O27" i="36"/>
  <c r="N27" i="36"/>
  <c r="M27" i="36"/>
  <c r="L27" i="36"/>
  <c r="K27" i="36"/>
  <c r="J27" i="36"/>
  <c r="I27" i="36"/>
  <c r="H27" i="36"/>
  <c r="G27" i="36"/>
  <c r="F27" i="36"/>
  <c r="E27" i="36"/>
  <c r="D27" i="36"/>
  <c r="C27" i="36"/>
  <c r="B27" i="36"/>
  <c r="C5" i="42" a="1"/>
  <c r="AF24" i="5" a="1"/>
  <c r="AE62" i="5" a="1"/>
  <c r="AF49" i="5" a="1"/>
  <c r="Z23" i="5" a="1"/>
  <c r="AG8" i="5" a="1"/>
  <c r="AF63" i="5" a="1"/>
  <c r="AH60" i="5" a="1"/>
  <c r="D21" i="48" a="1"/>
  <c r="AA11" i="5" a="1"/>
  <c r="AH34" i="5" a="1"/>
  <c r="D23" i="46" a="1"/>
  <c r="AG62" i="5" a="1"/>
  <c r="AE46" i="5" a="1"/>
  <c r="AH63" i="5" a="1"/>
  <c r="Y37" i="5" a="1"/>
  <c r="AC24" i="5" a="1"/>
  <c r="AA37" i="5" a="1"/>
  <c r="E23" i="46" a="1"/>
  <c r="Z8" i="5" a="1"/>
  <c r="AB37" i="5" a="1"/>
  <c r="AB8" i="5" a="1"/>
  <c r="AF50" i="5" a="1"/>
  <c r="AH7" i="5" a="1"/>
  <c r="AD59" i="5" a="1"/>
  <c r="AD8" i="5" a="1"/>
  <c r="AH33" i="5" a="1"/>
  <c r="AE7" i="5" a="1"/>
  <c r="AA8" i="5" a="1"/>
  <c r="AD34" i="5" a="1"/>
  <c r="AE24" i="5" a="1"/>
  <c r="AG24" i="5" a="1"/>
  <c r="AA50" i="5" a="1"/>
  <c r="AC47" i="5" a="1"/>
  <c r="AA59" i="5" a="1"/>
  <c r="Y20" i="5" a="1"/>
  <c r="AE37" i="5" a="1"/>
  <c r="D22" i="48" a="1"/>
  <c r="AH50" i="5" a="1"/>
  <c r="AG49" i="5" a="1"/>
  <c r="AB47" i="5" a="1"/>
  <c r="AH23" i="5" a="1"/>
  <c r="AH10" i="5" a="1"/>
  <c r="AH59" i="5" a="1"/>
  <c r="AG36" i="5" a="1"/>
  <c r="C23" i="48" a="1"/>
  <c r="C6" i="42" a="1"/>
  <c r="AB10" i="5" a="1"/>
  <c r="AC23" i="5" a="1"/>
  <c r="AD46" i="5" a="1"/>
  <c r="F22" i="46" a="1"/>
  <c r="AF37" i="5" a="1"/>
  <c r="Y33" i="5" a="1"/>
  <c r="Y10" i="5" a="1"/>
  <c r="AF47" i="5" a="1"/>
  <c r="AE49" i="5" a="1"/>
  <c r="AD36" i="5" a="1"/>
  <c r="Y62" i="5" a="1"/>
  <c r="AE8" i="5" a="1"/>
  <c r="E21" i="48" a="1"/>
  <c r="F21" i="48" a="1"/>
  <c r="AD20" i="5" a="1"/>
  <c r="Z62" i="5" a="1"/>
  <c r="AC36" i="5" a="1"/>
  <c r="G22" i="46" a="1"/>
  <c r="AF23" i="5" a="1"/>
  <c r="AH24" i="5" a="1"/>
  <c r="C8" i="42" a="1"/>
  <c r="AC11" i="5" a="1"/>
  <c r="AE47" i="5" a="1"/>
  <c r="AH46" i="5" a="1"/>
  <c r="AE34" i="5" a="1"/>
  <c r="C22" i="46" a="1"/>
  <c r="AD47" i="5" a="1"/>
  <c r="AA49" i="5" a="1"/>
  <c r="AD49" i="5" a="1"/>
  <c r="AG33" i="5" a="1"/>
  <c r="Z47" i="5" a="1"/>
  <c r="AF60" i="5" a="1"/>
  <c r="G22" i="48" a="1"/>
  <c r="AD37" i="5" a="1"/>
  <c r="C20" i="48" a="1"/>
  <c r="Z50" i="5" a="1"/>
  <c r="AA36" i="5" a="1"/>
  <c r="AE20" i="5" a="1"/>
  <c r="AC37" i="5" a="1"/>
  <c r="Z63" i="5" a="1"/>
  <c r="AC60" i="5" a="1"/>
  <c r="AH8" i="5" a="1"/>
  <c r="AA23" i="5" a="1"/>
  <c r="G23" i="46" a="1"/>
  <c r="Y11" i="5" a="1"/>
  <c r="AF11" i="5" a="1"/>
  <c r="C23" i="46" a="1"/>
  <c r="AF8" i="5" a="1"/>
  <c r="C20" i="46" a="1"/>
  <c r="D20" i="46" a="1"/>
  <c r="Y60" i="5" a="1"/>
  <c r="AD60" i="5" a="1"/>
  <c r="AD33" i="5" a="1"/>
  <c r="Y36" i="5" a="1"/>
  <c r="Y21" i="5" a="1"/>
  <c r="AA63" i="5" a="1"/>
  <c r="AF36" i="5" a="1"/>
  <c r="E21" i="46" a="1"/>
  <c r="F23" i="46" a="1"/>
  <c r="AD63" i="5" a="1"/>
  <c r="AB11" i="5" a="1"/>
  <c r="AG37" i="5" a="1"/>
  <c r="AB36" i="5" a="1"/>
  <c r="AE33" i="5" a="1"/>
  <c r="AA33" i="5" a="1"/>
  <c r="F22" i="48" a="1"/>
  <c r="AB46" i="5" a="1"/>
  <c r="AB50" i="5" a="1"/>
  <c r="AG46" i="5" a="1"/>
  <c r="Z36" i="5" a="1"/>
  <c r="E20" i="48" a="1"/>
  <c r="AC34" i="5" a="1"/>
  <c r="AG63" i="5" a="1"/>
  <c r="Y8" i="5" a="1"/>
  <c r="AF46" i="5" a="1"/>
  <c r="AH20" i="5" a="1"/>
  <c r="AB34" i="5" a="1"/>
  <c r="AE50" i="5" a="1"/>
  <c r="AA34" i="5" a="1"/>
  <c r="G20" i="46" a="1"/>
  <c r="AC46" i="5" a="1"/>
  <c r="E23" i="48" a="1"/>
  <c r="Z60" i="5" a="1"/>
  <c r="AH37" i="5" a="1"/>
  <c r="Y50" i="5" a="1"/>
  <c r="AD50" i="5" a="1"/>
  <c r="E22" i="46" a="1"/>
  <c r="D20" i="48" a="1"/>
  <c r="AE11" i="5" a="1"/>
  <c r="Z49" i="5" a="1"/>
  <c r="Y59" i="5" a="1"/>
  <c r="AE36" i="5" a="1"/>
  <c r="AC49" i="5" a="1"/>
  <c r="Z46" i="5" a="1"/>
  <c r="AD11" i="5" a="1"/>
  <c r="AA62" i="5" a="1"/>
  <c r="Z59" i="5" a="1"/>
  <c r="AB24" i="5" a="1"/>
  <c r="F20" i="48" a="1"/>
  <c r="AB59" i="5" a="1"/>
  <c r="Z10" i="5" a="1"/>
  <c r="AA60" i="5" a="1"/>
  <c r="D22" i="46" a="1"/>
  <c r="G21" i="46" a="1"/>
  <c r="AF33" i="5" a="1"/>
  <c r="AD10" i="5" a="1"/>
  <c r="Z37" i="5" a="1"/>
  <c r="C21" i="46" a="1"/>
  <c r="E20" i="46" a="1"/>
  <c r="F23" i="48" a="1"/>
  <c r="AD62" i="5" a="1"/>
  <c r="C22" i="48" a="1"/>
  <c r="AA47" i="5" a="1"/>
  <c r="Z24" i="5" a="1"/>
  <c r="F20" i="46" a="1"/>
  <c r="AH36" i="5" a="1"/>
  <c r="AA46" i="5" a="1"/>
  <c r="AB23" i="5" a="1"/>
  <c r="AG34" i="5" a="1"/>
  <c r="G21" i="48" a="1"/>
  <c r="AE63" i="5" a="1"/>
  <c r="AA24" i="5" a="1"/>
  <c r="AC7" i="5" a="1"/>
  <c r="AE59" i="5" a="1"/>
  <c r="Z34" i="5" a="1"/>
  <c r="AF20" i="5" a="1"/>
  <c r="AH47" i="5" a="1"/>
  <c r="E22" i="48" a="1"/>
  <c r="D21" i="46" a="1"/>
  <c r="AG50" i="5" a="1"/>
  <c r="Y23" i="5" a="1"/>
  <c r="G20" i="48" a="1"/>
  <c r="AA10" i="5" a="1"/>
  <c r="AG20" i="5" a="1"/>
  <c r="AB60" i="5" a="1"/>
  <c r="AB49" i="5" a="1"/>
  <c r="AG10" i="5" a="1"/>
  <c r="AC33" i="5" a="1"/>
  <c r="Y47" i="5" a="1"/>
  <c r="AE60" i="5" a="1"/>
  <c r="Z33" i="5" a="1"/>
  <c r="C21" i="48" a="1"/>
  <c r="AG47" i="5" a="1"/>
  <c r="AG7" i="5" a="1"/>
  <c r="AG11" i="5" a="1"/>
  <c r="AC10" i="5" a="1"/>
  <c r="Y49" i="5" a="1"/>
  <c r="D23" i="48" a="1"/>
  <c r="AF34" i="5" a="1"/>
  <c r="F21" i="46" a="1"/>
  <c r="AD7" i="5" a="1"/>
  <c r="Y24" i="5" a="1"/>
  <c r="AG59" i="5" a="1"/>
  <c r="AD24" i="5" a="1"/>
  <c r="Y34" i="5" a="1"/>
  <c r="AC20" i="5" a="1"/>
  <c r="AE10" i="5" a="1"/>
  <c r="Z11" i="5" a="1"/>
  <c r="AC59" i="5" a="1"/>
  <c r="C7" i="42" a="1"/>
  <c r="AF7" i="5" a="1"/>
  <c r="AC8" i="5" a="1"/>
  <c r="AB33" i="5" a="1"/>
  <c r="AC63" i="5" a="1"/>
  <c r="AH11" i="5" a="1"/>
  <c r="AB63" i="5" a="1"/>
  <c r="Y63" i="5" a="1"/>
  <c r="AG60" i="5" a="1"/>
  <c r="AH49" i="5" a="1"/>
  <c r="AF62" i="5" a="1"/>
  <c r="AB62" i="5" a="1"/>
  <c r="G23" i="48" a="1"/>
  <c r="AC50" i="5" a="1"/>
  <c r="AD23" i="5" a="1"/>
  <c r="AC62" i="5" a="1"/>
  <c r="AE23" i="5" a="1"/>
  <c r="AH62" i="5" a="1"/>
  <c r="Y46" i="5" a="1"/>
  <c r="AF59" i="5" a="1"/>
  <c r="AG23" i="5" a="1"/>
  <c r="AF10" i="5" a="1"/>
  <c r="C5" i="42" l="1"/>
  <c r="T5" i="42" s="1"/>
  <c r="G22" i="48"/>
  <c r="G22" i="46"/>
  <c r="C23" i="46"/>
  <c r="C23" i="48"/>
  <c r="D22" i="46"/>
  <c r="D22" i="48"/>
  <c r="E23" i="48"/>
  <c r="E23" i="46"/>
  <c r="D21" i="48"/>
  <c r="D21" i="46"/>
  <c r="E22" i="48"/>
  <c r="E22" i="46"/>
  <c r="F22" i="48"/>
  <c r="F22" i="46"/>
  <c r="G20" i="48"/>
  <c r="G20" i="46"/>
  <c r="C21" i="46"/>
  <c r="C21" i="48"/>
  <c r="D20" i="46"/>
  <c r="D20" i="48"/>
  <c r="E21" i="46"/>
  <c r="E21" i="48"/>
  <c r="G21" i="46"/>
  <c r="G21" i="48"/>
  <c r="F21" i="46"/>
  <c r="F21" i="48"/>
  <c r="D23" i="46"/>
  <c r="D23" i="48"/>
  <c r="C22" i="48"/>
  <c r="C22" i="46"/>
  <c r="E20" i="46"/>
  <c r="E20" i="48"/>
  <c r="F23" i="48"/>
  <c r="F23" i="46"/>
  <c r="C20" i="48"/>
  <c r="C20" i="46"/>
  <c r="F20" i="48"/>
  <c r="F20" i="46"/>
  <c r="G23" i="48"/>
  <c r="G23" i="46"/>
  <c r="C6" i="42"/>
  <c r="T6" i="42" s="1"/>
  <c r="C7" i="42"/>
  <c r="T7" i="42" s="1"/>
  <c r="H11" i="42"/>
  <c r="T12" i="42"/>
  <c r="C8" i="42"/>
  <c r="T8" i="42" s="1"/>
  <c r="H4" i="42"/>
  <c r="H3" i="42"/>
  <c r="H13" i="42"/>
  <c r="H12" i="42"/>
  <c r="H10" i="42"/>
  <c r="H9" i="42"/>
  <c r="H22" i="42"/>
  <c r="H20" i="42"/>
  <c r="H23" i="42"/>
  <c r="H21" i="42"/>
  <c r="AK9" i="5"/>
  <c r="AM9" i="5"/>
  <c r="AN9" i="5"/>
  <c r="AO9" i="5"/>
  <c r="AL9" i="5"/>
  <c r="AE33" i="5"/>
  <c r="D4" i="45" s="1"/>
  <c r="AH34" i="5"/>
  <c r="AG36" i="5"/>
  <c r="AF33" i="5"/>
  <c r="AF36" i="5"/>
  <c r="AH36" i="5"/>
  <c r="AG33" i="5"/>
  <c r="Z37" i="5"/>
  <c r="AH33" i="5"/>
  <c r="AA37" i="5"/>
  <c r="Z34" i="5"/>
  <c r="AB37" i="5"/>
  <c r="AA34" i="5"/>
  <c r="Z36" i="5"/>
  <c r="AC37" i="5"/>
  <c r="AB34" i="5"/>
  <c r="AA36" i="5"/>
  <c r="AD37" i="5"/>
  <c r="Z33" i="5"/>
  <c r="AC34" i="5"/>
  <c r="AB36" i="5"/>
  <c r="AE37" i="5"/>
  <c r="AA33" i="5"/>
  <c r="AD34" i="5"/>
  <c r="AC36" i="5"/>
  <c r="AF37" i="5"/>
  <c r="AB33" i="5"/>
  <c r="AE34" i="5"/>
  <c r="AD36" i="5"/>
  <c r="AG37" i="5"/>
  <c r="AC33" i="5"/>
  <c r="AF34" i="5"/>
  <c r="AE36" i="5"/>
  <c r="AH37" i="5"/>
  <c r="AD33" i="5"/>
  <c r="AG34" i="5"/>
  <c r="AE46" i="5"/>
  <c r="F4" i="45" s="1"/>
  <c r="AH47" i="5"/>
  <c r="AG49" i="5"/>
  <c r="AF46" i="5"/>
  <c r="AH49" i="5"/>
  <c r="AG46" i="5"/>
  <c r="Z50" i="5"/>
  <c r="AH46" i="5"/>
  <c r="AA50" i="5"/>
  <c r="Z47" i="5"/>
  <c r="AB50" i="5"/>
  <c r="AA47" i="5"/>
  <c r="Z49" i="5"/>
  <c r="AC50" i="5"/>
  <c r="AB47" i="5"/>
  <c r="AA49" i="5"/>
  <c r="AD50" i="5"/>
  <c r="Z46" i="5"/>
  <c r="AC47" i="5"/>
  <c r="AB49" i="5"/>
  <c r="AE50" i="5"/>
  <c r="AA46" i="5"/>
  <c r="AD47" i="5"/>
  <c r="AC49" i="5"/>
  <c r="AF50" i="5"/>
  <c r="AF49" i="5"/>
  <c r="AB46" i="5"/>
  <c r="AE47" i="5"/>
  <c r="AD49" i="5"/>
  <c r="AG50" i="5"/>
  <c r="AC46" i="5"/>
  <c r="AF47" i="5"/>
  <c r="AE49" i="5"/>
  <c r="AH50" i="5"/>
  <c r="AD46" i="5"/>
  <c r="AG47" i="5"/>
  <c r="AG62" i="5"/>
  <c r="AH60" i="5"/>
  <c r="AF59" i="5"/>
  <c r="AH62" i="5"/>
  <c r="AF62" i="5"/>
  <c r="AG59" i="5"/>
  <c r="Z63" i="5"/>
  <c r="AH59" i="5"/>
  <c r="AA63" i="5"/>
  <c r="Z60" i="5"/>
  <c r="AB63" i="5"/>
  <c r="AA60" i="5"/>
  <c r="Z62" i="5"/>
  <c r="AC63" i="5"/>
  <c r="AB60" i="5"/>
  <c r="AA62" i="5"/>
  <c r="AD63" i="5"/>
  <c r="Z59" i="5"/>
  <c r="AC60" i="5"/>
  <c r="AE59" i="5"/>
  <c r="G4" i="45" s="1"/>
  <c r="AB62" i="5"/>
  <c r="AE63" i="5"/>
  <c r="AA59" i="5"/>
  <c r="AD60" i="5"/>
  <c r="AC62" i="5"/>
  <c r="AF63" i="5"/>
  <c r="AB59" i="5"/>
  <c r="AE60" i="5"/>
  <c r="AD62" i="5"/>
  <c r="AG63" i="5"/>
  <c r="AC59" i="5"/>
  <c r="AF60" i="5"/>
  <c r="AE62" i="5"/>
  <c r="AH63" i="5"/>
  <c r="AD59" i="5"/>
  <c r="AG60" i="5"/>
  <c r="Y63" i="5"/>
  <c r="Y62" i="5"/>
  <c r="Y50" i="5"/>
  <c r="Y49" i="5"/>
  <c r="Y60" i="5"/>
  <c r="Y47" i="5"/>
  <c r="Y34" i="5"/>
  <c r="Y33" i="5"/>
  <c r="D4" i="42" s="1"/>
  <c r="U4" i="42" s="1"/>
  <c r="Y46" i="5"/>
  <c r="F4" i="42" s="1"/>
  <c r="W4" i="42" s="1"/>
  <c r="Y59" i="5"/>
  <c r="G4" i="42" s="1"/>
  <c r="X4" i="42" s="1"/>
  <c r="Y37" i="5"/>
  <c r="Y36" i="5"/>
  <c r="Z10" i="5"/>
  <c r="AA10" i="5"/>
  <c r="AB10" i="5"/>
  <c r="AC10" i="5"/>
  <c r="AD10" i="5"/>
  <c r="AE10" i="5"/>
  <c r="AF10" i="5"/>
  <c r="AG10" i="5"/>
  <c r="AH10" i="5"/>
  <c r="Y10" i="5"/>
  <c r="AG23" i="5"/>
  <c r="AH23" i="5"/>
  <c r="Z24" i="5"/>
  <c r="AF23" i="5"/>
  <c r="AA24" i="5"/>
  <c r="AB24" i="5"/>
  <c r="Z23" i="5"/>
  <c r="AC24" i="5"/>
  <c r="AA23" i="5"/>
  <c r="AD24" i="5"/>
  <c r="AB23" i="5"/>
  <c r="AE24" i="5"/>
  <c r="AC23" i="5"/>
  <c r="AF24" i="5"/>
  <c r="AD23" i="5"/>
  <c r="AG24" i="5"/>
  <c r="AE23" i="5"/>
  <c r="AH24" i="5"/>
  <c r="Y24" i="5"/>
  <c r="Y23" i="5"/>
  <c r="Z11" i="5"/>
  <c r="AA11" i="5"/>
  <c r="AB11" i="5"/>
  <c r="AC11" i="5"/>
  <c r="AD11" i="5"/>
  <c r="AE11" i="5"/>
  <c r="AF11" i="5"/>
  <c r="AG11" i="5"/>
  <c r="AH11" i="5"/>
  <c r="Y11" i="5"/>
  <c r="Y21" i="5"/>
  <c r="Z8" i="5"/>
  <c r="AA8" i="5"/>
  <c r="AB8" i="5"/>
  <c r="AC8" i="5"/>
  <c r="AD8" i="5"/>
  <c r="AE8" i="5"/>
  <c r="AF8" i="5"/>
  <c r="AG8" i="5"/>
  <c r="AH8" i="5"/>
  <c r="Y8" i="5"/>
  <c r="AC7" i="5"/>
  <c r="AD7" i="5"/>
  <c r="AE7" i="5"/>
  <c r="C4" i="45" s="1"/>
  <c r="AF7" i="5"/>
  <c r="AG7" i="5"/>
  <c r="AH7" i="5"/>
  <c r="AC20" i="5"/>
  <c r="AD20" i="5"/>
  <c r="AE20" i="5"/>
  <c r="E4" i="45" s="1"/>
  <c r="AF20" i="5"/>
  <c r="AG20" i="5"/>
  <c r="AH20" i="5"/>
  <c r="Y20" i="5"/>
  <c r="E4" i="42" s="1"/>
  <c r="V4" i="42" s="1"/>
  <c r="AK7" i="5"/>
  <c r="G48" i="31"/>
  <c r="I48" i="31"/>
  <c r="B48" i="31"/>
  <c r="C48" i="31"/>
  <c r="E48" i="31"/>
  <c r="O48" i="31" s="1"/>
  <c r="F48" i="31"/>
  <c r="J48" i="31"/>
  <c r="K48" i="31"/>
  <c r="R48" i="31" s="1"/>
  <c r="H48" i="31"/>
  <c r="P48" i="31" s="1"/>
  <c r="D48" i="31"/>
  <c r="L21" i="48" l="1"/>
  <c r="R21" i="48"/>
  <c r="L21" i="46"/>
  <c r="R21" i="46"/>
  <c r="P21" i="48"/>
  <c r="J21" i="48"/>
  <c r="P21" i="46"/>
  <c r="J21" i="46"/>
  <c r="I20" i="48"/>
  <c r="O20" i="48"/>
  <c r="O20" i="46"/>
  <c r="I20" i="46"/>
  <c r="N21" i="48"/>
  <c r="H21" i="48"/>
  <c r="N21" i="46"/>
  <c r="H21" i="46"/>
  <c r="L23" i="46"/>
  <c r="R23" i="46"/>
  <c r="L20" i="46"/>
  <c r="R20" i="46"/>
  <c r="L23" i="48"/>
  <c r="R23" i="48"/>
  <c r="R20" i="48"/>
  <c r="L20" i="48"/>
  <c r="K20" i="46"/>
  <c r="Q20" i="46"/>
  <c r="Q22" i="46"/>
  <c r="K22" i="46"/>
  <c r="K20" i="48"/>
  <c r="Q20" i="48"/>
  <c r="Q22" i="48"/>
  <c r="K22" i="48"/>
  <c r="H20" i="46"/>
  <c r="N20" i="46"/>
  <c r="J22" i="46"/>
  <c r="P22" i="46"/>
  <c r="H20" i="48"/>
  <c r="N20" i="48"/>
  <c r="P22" i="48"/>
  <c r="J22" i="48"/>
  <c r="K23" i="46"/>
  <c r="Q23" i="46"/>
  <c r="I21" i="46"/>
  <c r="O21" i="46"/>
  <c r="K23" i="48"/>
  <c r="Q23" i="48"/>
  <c r="O21" i="48"/>
  <c r="I21" i="48"/>
  <c r="P20" i="48"/>
  <c r="J20" i="48"/>
  <c r="P23" i="46"/>
  <c r="J23" i="46"/>
  <c r="P20" i="46"/>
  <c r="J20" i="46"/>
  <c r="P23" i="48"/>
  <c r="J23" i="48"/>
  <c r="H22" i="46"/>
  <c r="N22" i="46"/>
  <c r="O22" i="48"/>
  <c r="I22" i="48"/>
  <c r="N22" i="48"/>
  <c r="H22" i="48"/>
  <c r="I22" i="46"/>
  <c r="O22" i="46"/>
  <c r="I23" i="48"/>
  <c r="O23" i="48"/>
  <c r="N23" i="48"/>
  <c r="H23" i="48"/>
  <c r="I23" i="46"/>
  <c r="O23" i="46"/>
  <c r="N23" i="46"/>
  <c r="H23" i="46"/>
  <c r="K21" i="48"/>
  <c r="Q21" i="48"/>
  <c r="L22" i="46"/>
  <c r="R22" i="46"/>
  <c r="K21" i="46"/>
  <c r="Q21" i="46"/>
  <c r="R22" i="48"/>
  <c r="L22" i="48"/>
  <c r="H6" i="42"/>
  <c r="C4" i="46"/>
  <c r="C13" i="46" s="1"/>
  <c r="G4" i="46"/>
  <c r="G13" i="46" s="1"/>
  <c r="F4" i="46"/>
  <c r="F13" i="46" s="1"/>
  <c r="D4" i="46"/>
  <c r="D13" i="46" s="1"/>
  <c r="E4" i="46"/>
  <c r="E13" i="46" s="1"/>
  <c r="C13" i="45"/>
  <c r="H4" i="45" s="1"/>
  <c r="D13" i="45"/>
  <c r="G13" i="45"/>
  <c r="E13" i="45"/>
  <c r="F13" i="45"/>
  <c r="N4" i="45"/>
  <c r="F13" i="42"/>
  <c r="W12" i="42" s="1"/>
  <c r="G13" i="42"/>
  <c r="X12" i="42" s="1"/>
  <c r="E13" i="42"/>
  <c r="V12" i="42" s="1"/>
  <c r="D13" i="42"/>
  <c r="U12" i="42" s="1"/>
  <c r="AK10" i="5"/>
  <c r="H7" i="42"/>
  <c r="AK11" i="5"/>
  <c r="H8" i="42"/>
  <c r="AK8" i="5"/>
  <c r="H5" i="42"/>
  <c r="N48" i="31"/>
  <c r="S48" i="31" s="1"/>
  <c r="K53" i="31"/>
  <c r="J53" i="31"/>
  <c r="I53" i="31"/>
  <c r="T48" i="31"/>
  <c r="Q48" i="31"/>
  <c r="B50" i="31"/>
  <c r="C52" i="31" s="1"/>
  <c r="D52" i="31" s="1"/>
  <c r="E52" i="31" s="1"/>
  <c r="F52" i="31" s="1"/>
  <c r="G52" i="31" s="1"/>
  <c r="H52" i="31" s="1"/>
  <c r="I52" i="31" s="1"/>
  <c r="AL10" i="5"/>
  <c r="AL11" i="5"/>
  <c r="AM10" i="5"/>
  <c r="AO10" i="5"/>
  <c r="AO7" i="5"/>
  <c r="AN7" i="5"/>
  <c r="AN11" i="5"/>
  <c r="AM7" i="5"/>
  <c r="AO11" i="5"/>
  <c r="AL7" i="5"/>
  <c r="AM11" i="5"/>
  <c r="AM8" i="5"/>
  <c r="AN8" i="5"/>
  <c r="AL8" i="5"/>
  <c r="AO8" i="5"/>
  <c r="AN10" i="5"/>
  <c r="Z51" i="5"/>
  <c r="AA51" i="5"/>
  <c r="AB64" i="5"/>
  <c r="AA64" i="5"/>
  <c r="AH64" i="5"/>
  <c r="Y64" i="5"/>
  <c r="Z64" i="5"/>
  <c r="AG64" i="5"/>
  <c r="AF64" i="5"/>
  <c r="Y51" i="5"/>
  <c r="AB38" i="5"/>
  <c r="AE64" i="5"/>
  <c r="AH51" i="5"/>
  <c r="AD64" i="5"/>
  <c r="AC64" i="5"/>
  <c r="AB51" i="5"/>
  <c r="AG51" i="5"/>
  <c r="AE51" i="5"/>
  <c r="AH38" i="5"/>
  <c r="AD51" i="5"/>
  <c r="AG38" i="5"/>
  <c r="AF51" i="5"/>
  <c r="AA38" i="5"/>
  <c r="AC51" i="5"/>
  <c r="Y38" i="5"/>
  <c r="Z38" i="5"/>
  <c r="AF38" i="5"/>
  <c r="AD38" i="5"/>
  <c r="AE38" i="5"/>
  <c r="AC38" i="5"/>
  <c r="Y25" i="5"/>
  <c r="Y12" i="5"/>
  <c r="AK12" i="5" s="1"/>
  <c r="AB12" i="5"/>
  <c r="AC12" i="5"/>
  <c r="Z12" i="5"/>
  <c r="AA25" i="5"/>
  <c r="AD25" i="5"/>
  <c r="AH25" i="5"/>
  <c r="AA12" i="5"/>
  <c r="AD12" i="5"/>
  <c r="AE25" i="5"/>
  <c r="AF12" i="5"/>
  <c r="AB25" i="5"/>
  <c r="AG25" i="5"/>
  <c r="AH12" i="5"/>
  <c r="AF25" i="5"/>
  <c r="AE12" i="5"/>
  <c r="AG12" i="5"/>
  <c r="AC25" i="5"/>
  <c r="D7" i="42" a="1"/>
  <c r="F6" i="42" a="1"/>
  <c r="G7" i="42" a="1"/>
  <c r="G6" i="42" a="1"/>
  <c r="D8" i="42" a="1"/>
  <c r="G5" i="42" a="1"/>
  <c r="D7" i="46" a="1"/>
  <c r="F8" i="42" a="1"/>
  <c r="D6" i="42" a="1"/>
  <c r="D5" i="42" a="1"/>
  <c r="C5" i="46" a="1"/>
  <c r="L26" i="5" a="1"/>
  <c r="I8" i="5" a="1"/>
  <c r="E8" i="42" a="1"/>
  <c r="E5" i="42" a="1"/>
  <c r="L8" i="5" a="1"/>
  <c r="K26" i="5" a="1"/>
  <c r="C7" i="46" a="1"/>
  <c r="J26" i="5" a="1"/>
  <c r="K8" i="5" a="1"/>
  <c r="G7" i="46" a="1"/>
  <c r="H8" i="5" a="1"/>
  <c r="F5" i="42" a="1"/>
  <c r="I26" i="5" a="1"/>
  <c r="E6" i="42" a="1"/>
  <c r="J8" i="5" a="1"/>
  <c r="F7" i="42" a="1"/>
  <c r="E7" i="42" a="1"/>
  <c r="H26" i="5" a="1"/>
  <c r="F5" i="46" a="1"/>
  <c r="C8" i="46" a="1"/>
  <c r="G8" i="42" a="1"/>
  <c r="N4" i="46" l="1"/>
  <c r="P4" i="48"/>
  <c r="E13" i="48"/>
  <c r="O4" i="48"/>
  <c r="D13" i="48"/>
  <c r="Q4" i="48"/>
  <c r="F13" i="48"/>
  <c r="K4" i="48" s="1"/>
  <c r="R4" i="48"/>
  <c r="G13" i="48"/>
  <c r="N4" i="48"/>
  <c r="C13" i="48"/>
  <c r="F5" i="46"/>
  <c r="G7" i="46"/>
  <c r="D7" i="46"/>
  <c r="C7" i="46"/>
  <c r="C8" i="46"/>
  <c r="C5" i="46"/>
  <c r="H12" i="46"/>
  <c r="H3" i="45"/>
  <c r="H13" i="45"/>
  <c r="H10" i="45"/>
  <c r="H11" i="45"/>
  <c r="H9" i="45"/>
  <c r="H12" i="45"/>
  <c r="N13" i="45"/>
  <c r="O4" i="46"/>
  <c r="P4" i="45"/>
  <c r="Q4" i="46"/>
  <c r="R4" i="45"/>
  <c r="P4" i="46"/>
  <c r="R4" i="46"/>
  <c r="O4" i="45"/>
  <c r="Q4" i="45"/>
  <c r="P13" i="46"/>
  <c r="O13" i="46"/>
  <c r="D5" i="42"/>
  <c r="D6" i="42"/>
  <c r="D7" i="42"/>
  <c r="D8" i="42"/>
  <c r="O13" i="45"/>
  <c r="Q13" i="45"/>
  <c r="P13" i="45"/>
  <c r="R13" i="45"/>
  <c r="J23" i="42"/>
  <c r="J22" i="42"/>
  <c r="J20" i="42"/>
  <c r="J21" i="42"/>
  <c r="I22" i="42"/>
  <c r="I21" i="42"/>
  <c r="I23" i="42"/>
  <c r="I20" i="42"/>
  <c r="K20" i="42"/>
  <c r="K23" i="42"/>
  <c r="K22" i="42"/>
  <c r="K21" i="42"/>
  <c r="L21" i="42"/>
  <c r="L22" i="42"/>
  <c r="L23" i="42"/>
  <c r="L20" i="42"/>
  <c r="G5" i="42"/>
  <c r="G6" i="42"/>
  <c r="G7" i="42"/>
  <c r="G8" i="42"/>
  <c r="F5" i="42"/>
  <c r="F6" i="42"/>
  <c r="F7" i="42"/>
  <c r="F8" i="42"/>
  <c r="E5" i="42"/>
  <c r="E6" i="42"/>
  <c r="E7" i="42"/>
  <c r="E8" i="42"/>
  <c r="L4" i="42"/>
  <c r="L9" i="42"/>
  <c r="L13" i="42"/>
  <c r="L11" i="42"/>
  <c r="L12" i="42"/>
  <c r="L3" i="42"/>
  <c r="L10" i="42"/>
  <c r="K4" i="42"/>
  <c r="K12" i="42"/>
  <c r="K10" i="42"/>
  <c r="K13" i="42"/>
  <c r="K11" i="42"/>
  <c r="K9" i="42"/>
  <c r="K3" i="42"/>
  <c r="J4" i="42"/>
  <c r="J11" i="42"/>
  <c r="J13" i="42"/>
  <c r="J9" i="42"/>
  <c r="J12" i="42"/>
  <c r="J10" i="42"/>
  <c r="J3" i="42"/>
  <c r="I4" i="42"/>
  <c r="I3" i="42"/>
  <c r="I9" i="42"/>
  <c r="I10" i="42"/>
  <c r="I11" i="42"/>
  <c r="I13" i="42"/>
  <c r="I12" i="42"/>
  <c r="J52" i="31"/>
  <c r="K52" i="31"/>
  <c r="Q51" i="31"/>
  <c r="T51" i="31"/>
  <c r="AL12" i="5"/>
  <c r="AS6" i="5" s="1"/>
  <c r="AO12" i="5"/>
  <c r="AV9" i="5" s="1"/>
  <c r="AN12" i="5"/>
  <c r="AU10" i="5" s="1"/>
  <c r="AM12" i="5"/>
  <c r="AT11" i="5" s="1"/>
  <c r="AR6" i="5"/>
  <c r="AR9" i="5"/>
  <c r="AR8" i="5"/>
  <c r="AR7" i="5"/>
  <c r="AR10" i="5"/>
  <c r="AR11" i="5"/>
  <c r="AA52" i="5"/>
  <c r="AA66" i="5"/>
  <c r="Z53" i="5"/>
  <c r="AA27" i="5"/>
  <c r="AH53" i="5"/>
  <c r="AA65" i="5"/>
  <c r="AH66" i="5"/>
  <c r="AB65" i="5"/>
  <c r="AB53" i="5"/>
  <c r="Z66" i="5"/>
  <c r="Z65" i="5"/>
  <c r="Z13" i="5"/>
  <c r="AB39" i="5"/>
  <c r="AH65" i="5"/>
  <c r="AH52" i="5"/>
  <c r="AB14" i="5"/>
  <c r="AB66" i="5"/>
  <c r="AA40" i="5"/>
  <c r="Z39" i="5"/>
  <c r="AH39" i="5"/>
  <c r="AB52" i="5"/>
  <c r="AB40" i="5"/>
  <c r="AF66" i="5"/>
  <c r="AF65" i="5"/>
  <c r="AD66" i="5"/>
  <c r="AD65" i="5"/>
  <c r="AE66" i="5"/>
  <c r="AE65" i="5"/>
  <c r="AG66" i="5"/>
  <c r="AG65" i="5"/>
  <c r="AG40" i="5"/>
  <c r="Z52" i="5"/>
  <c r="AA53" i="5"/>
  <c r="AH27" i="5"/>
  <c r="AC66" i="5"/>
  <c r="AC65" i="5"/>
  <c r="AB27" i="5"/>
  <c r="AA14" i="5"/>
  <c r="AD27" i="5"/>
  <c r="AC53" i="5"/>
  <c r="AC52" i="5"/>
  <c r="AE53" i="5"/>
  <c r="AE52" i="5"/>
  <c r="AH40" i="5"/>
  <c r="AF53" i="5"/>
  <c r="AF52" i="5"/>
  <c r="AG53" i="5"/>
  <c r="AG52" i="5"/>
  <c r="AD53" i="5"/>
  <c r="AD52" i="5"/>
  <c r="Z40" i="5"/>
  <c r="AA39" i="5"/>
  <c r="AG39" i="5"/>
  <c r="AG14" i="5"/>
  <c r="AC40" i="5"/>
  <c r="AC39" i="5"/>
  <c r="AC14" i="5"/>
  <c r="AG27" i="5"/>
  <c r="AA13" i="5"/>
  <c r="AE40" i="5"/>
  <c r="AE39" i="5"/>
  <c r="AE27" i="5"/>
  <c r="AF40" i="5"/>
  <c r="AF39" i="5"/>
  <c r="AC13" i="5"/>
  <c r="AD14" i="5"/>
  <c r="Z14" i="5"/>
  <c r="AF27" i="5"/>
  <c r="AD40" i="5"/>
  <c r="AD39" i="5"/>
  <c r="AD13" i="5"/>
  <c r="AF14" i="5"/>
  <c r="AE26" i="5"/>
  <c r="AH14" i="5"/>
  <c r="AB26" i="5"/>
  <c r="AB13" i="5"/>
  <c r="AD26" i="5"/>
  <c r="AC27" i="5"/>
  <c r="AF13" i="5"/>
  <c r="AE14" i="5"/>
  <c r="AH13" i="5"/>
  <c r="AF26" i="5"/>
  <c r="AG26" i="5"/>
  <c r="AH26" i="5"/>
  <c r="AC26" i="5"/>
  <c r="AE13" i="5"/>
  <c r="AG13" i="5"/>
  <c r="I26" i="5"/>
  <c r="H26" i="31" s="1"/>
  <c r="P26" i="31" s="1"/>
  <c r="J26" i="5"/>
  <c r="I26" i="31" s="1"/>
  <c r="H26" i="5"/>
  <c r="G26" i="31" s="1"/>
  <c r="K26" i="5"/>
  <c r="J26" i="31" s="1"/>
  <c r="L26" i="5"/>
  <c r="K26" i="31" s="1"/>
  <c r="R26" i="31" s="1"/>
  <c r="I8" i="5"/>
  <c r="H8" i="31" s="1"/>
  <c r="P8" i="31" s="1"/>
  <c r="J8" i="5"/>
  <c r="I8" i="31" s="1"/>
  <c r="H8" i="5"/>
  <c r="G8" i="31" s="1"/>
  <c r="K8" i="5"/>
  <c r="J8" i="31" s="1"/>
  <c r="L8" i="5"/>
  <c r="K8" i="31" s="1"/>
  <c r="R8" i="31" s="1"/>
  <c r="E6" i="46" a="1"/>
  <c r="G5" i="46" a="1"/>
  <c r="D7" i="48" a="1"/>
  <c r="C6" i="46" a="1"/>
  <c r="E5" i="46" a="1"/>
  <c r="G8" i="46" a="1"/>
  <c r="F7" i="48" a="1"/>
  <c r="E7" i="48" a="1"/>
  <c r="F8" i="46" a="1"/>
  <c r="E7" i="46" a="1"/>
  <c r="E8" i="46" a="1"/>
  <c r="F7" i="46" a="1"/>
  <c r="C8" i="48" a="1"/>
  <c r="E6" i="48" a="1"/>
  <c r="D5" i="48" a="1"/>
  <c r="G6" i="48" a="1"/>
  <c r="G7" i="48" a="1"/>
  <c r="E5" i="48" a="1"/>
  <c r="G6" i="46" a="1"/>
  <c r="F8" i="48" a="1"/>
  <c r="D5" i="46" a="1"/>
  <c r="G5" i="48" a="1"/>
  <c r="E8" i="48" a="1"/>
  <c r="D6" i="48" a="1"/>
  <c r="D8" i="46" a="1"/>
  <c r="C7" i="48" a="1"/>
  <c r="F6" i="48" a="1"/>
  <c r="C6" i="48" a="1"/>
  <c r="G8" i="48" a="1"/>
  <c r="C5" i="48" a="1"/>
  <c r="D6" i="46" a="1"/>
  <c r="D8" i="48" a="1"/>
  <c r="F6" i="46" a="1"/>
  <c r="F5" i="48" a="1"/>
  <c r="D6" i="46" l="1"/>
  <c r="O6" i="46" s="1"/>
  <c r="E6" i="46"/>
  <c r="D5" i="46"/>
  <c r="O5" i="46" s="1"/>
  <c r="G5" i="46"/>
  <c r="G8" i="46"/>
  <c r="F8" i="46"/>
  <c r="G6" i="46"/>
  <c r="F7" i="46"/>
  <c r="E5" i="46"/>
  <c r="C6" i="46"/>
  <c r="H6" i="46" s="1"/>
  <c r="F6" i="46"/>
  <c r="E8" i="46"/>
  <c r="D8" i="46"/>
  <c r="O8" i="46" s="1"/>
  <c r="E7" i="46"/>
  <c r="L8" i="42"/>
  <c r="X8" i="42"/>
  <c r="L7" i="42"/>
  <c r="X7" i="42"/>
  <c r="I7" i="42"/>
  <c r="U7" i="42"/>
  <c r="I8" i="42"/>
  <c r="U8" i="42"/>
  <c r="L6" i="42"/>
  <c r="X6" i="42"/>
  <c r="I6" i="42"/>
  <c r="U6" i="42"/>
  <c r="L5" i="42"/>
  <c r="X5" i="42"/>
  <c r="I5" i="42"/>
  <c r="U5" i="42"/>
  <c r="J8" i="42"/>
  <c r="V8" i="42"/>
  <c r="J7" i="42"/>
  <c r="V7" i="42"/>
  <c r="J6" i="42"/>
  <c r="V6" i="42"/>
  <c r="J5" i="42"/>
  <c r="V5" i="42"/>
  <c r="K7" i="42"/>
  <c r="W7" i="42"/>
  <c r="K6" i="42"/>
  <c r="W6" i="42"/>
  <c r="K8" i="42"/>
  <c r="W8" i="42"/>
  <c r="K5" i="42"/>
  <c r="W5" i="42"/>
  <c r="G7" i="48"/>
  <c r="G6" i="48"/>
  <c r="G5" i="48"/>
  <c r="F8" i="48"/>
  <c r="F7" i="48"/>
  <c r="F6" i="48"/>
  <c r="F5" i="48"/>
  <c r="D7" i="48"/>
  <c r="D6" i="48"/>
  <c r="D5" i="48"/>
  <c r="C6" i="48"/>
  <c r="C5" i="48"/>
  <c r="D8" i="48"/>
  <c r="C8" i="48"/>
  <c r="C7" i="48"/>
  <c r="E7" i="48"/>
  <c r="E8" i="48"/>
  <c r="G8" i="48"/>
  <c r="E6" i="48"/>
  <c r="E5" i="48"/>
  <c r="K3" i="48"/>
  <c r="Q13" i="48"/>
  <c r="K13" i="48"/>
  <c r="K10" i="48"/>
  <c r="K9" i="48"/>
  <c r="K12" i="48"/>
  <c r="K11" i="48"/>
  <c r="I13" i="48"/>
  <c r="O13" i="48"/>
  <c r="I3" i="48"/>
  <c r="I10" i="48"/>
  <c r="I11" i="48"/>
  <c r="I9" i="48"/>
  <c r="I12" i="48"/>
  <c r="I4" i="48"/>
  <c r="N13" i="48"/>
  <c r="H13" i="48"/>
  <c r="H10" i="48"/>
  <c r="H3" i="48"/>
  <c r="H12" i="48"/>
  <c r="H9" i="48"/>
  <c r="H11" i="48"/>
  <c r="P13" i="48"/>
  <c r="J13" i="48"/>
  <c r="J3" i="48"/>
  <c r="J10" i="48"/>
  <c r="J11" i="48"/>
  <c r="J12" i="48"/>
  <c r="J9" i="48"/>
  <c r="J4" i="48"/>
  <c r="H4" i="48"/>
  <c r="R13" i="48"/>
  <c r="L13" i="48"/>
  <c r="L3" i="48"/>
  <c r="L10" i="48"/>
  <c r="L11" i="48"/>
  <c r="L9" i="48"/>
  <c r="L12" i="48"/>
  <c r="L4" i="48"/>
  <c r="H10" i="46"/>
  <c r="H13" i="46"/>
  <c r="H3" i="46"/>
  <c r="N13" i="46"/>
  <c r="H4" i="46"/>
  <c r="H11" i="46"/>
  <c r="H9" i="46"/>
  <c r="H5" i="46"/>
  <c r="N5" i="46"/>
  <c r="H7" i="46"/>
  <c r="N7" i="46"/>
  <c r="H8" i="46"/>
  <c r="N8" i="46"/>
  <c r="L4" i="46"/>
  <c r="R13" i="46"/>
  <c r="K4" i="46"/>
  <c r="Q13" i="46"/>
  <c r="L4" i="45"/>
  <c r="K4" i="45"/>
  <c r="O7" i="46"/>
  <c r="L13" i="46"/>
  <c r="L10" i="46"/>
  <c r="L3" i="46"/>
  <c r="L12" i="46"/>
  <c r="L11" i="46"/>
  <c r="L9" i="46"/>
  <c r="I3" i="46"/>
  <c r="I10" i="46"/>
  <c r="I13" i="46"/>
  <c r="I11" i="46"/>
  <c r="I9" i="46"/>
  <c r="I12" i="46"/>
  <c r="I4" i="46"/>
  <c r="J3" i="46"/>
  <c r="J10" i="46"/>
  <c r="J13" i="46"/>
  <c r="J11" i="46"/>
  <c r="J12" i="46"/>
  <c r="J9" i="46"/>
  <c r="K10" i="46"/>
  <c r="K13" i="46"/>
  <c r="K3" i="46"/>
  <c r="K11" i="46"/>
  <c r="K9" i="46"/>
  <c r="K12" i="46"/>
  <c r="J4" i="46"/>
  <c r="J10" i="45"/>
  <c r="J13" i="45"/>
  <c r="J3" i="45"/>
  <c r="J12" i="45"/>
  <c r="J11" i="45"/>
  <c r="J9" i="45"/>
  <c r="J4" i="45"/>
  <c r="K3" i="45"/>
  <c r="K10" i="45"/>
  <c r="K13" i="45"/>
  <c r="K11" i="45"/>
  <c r="K9" i="45"/>
  <c r="K12" i="45"/>
  <c r="I3" i="45"/>
  <c r="I10" i="45"/>
  <c r="I13" i="45"/>
  <c r="I12" i="45"/>
  <c r="I11" i="45"/>
  <c r="I9" i="45"/>
  <c r="I4" i="45"/>
  <c r="L13" i="45"/>
  <c r="L3" i="45"/>
  <c r="L10" i="45"/>
  <c r="L12" i="45"/>
  <c r="L11" i="45"/>
  <c r="L9" i="45"/>
  <c r="Q26" i="31"/>
  <c r="T26" i="31"/>
  <c r="Q8" i="31"/>
  <c r="T8" i="31"/>
  <c r="AV11" i="5"/>
  <c r="AV7" i="5"/>
  <c r="AV6" i="5"/>
  <c r="AS8" i="5"/>
  <c r="AS10" i="5"/>
  <c r="AS9" i="5"/>
  <c r="AU11" i="5"/>
  <c r="AT7" i="5"/>
  <c r="AU8" i="5"/>
  <c r="AV8" i="5"/>
  <c r="AT9" i="5"/>
  <c r="AV10" i="5"/>
  <c r="AR25" i="5"/>
  <c r="AS11" i="5"/>
  <c r="AS7" i="5"/>
  <c r="AT10" i="5"/>
  <c r="AT6" i="5"/>
  <c r="AT8" i="5"/>
  <c r="AU7" i="5"/>
  <c r="AU9" i="5"/>
  <c r="AU6" i="5"/>
  <c r="K25" i="31"/>
  <c r="R25" i="31" s="1"/>
  <c r="J25" i="31"/>
  <c r="I25" i="31"/>
  <c r="H25" i="31"/>
  <c r="P25" i="31" s="1"/>
  <c r="G25" i="31"/>
  <c r="F25" i="31"/>
  <c r="E25" i="31"/>
  <c r="O25" i="31" s="1"/>
  <c r="D25" i="31"/>
  <c r="K7" i="31"/>
  <c r="R7" i="31" s="1"/>
  <c r="J7" i="31"/>
  <c r="I7" i="31"/>
  <c r="H7" i="31"/>
  <c r="P7" i="31" s="1"/>
  <c r="G7" i="31"/>
  <c r="F7" i="31"/>
  <c r="E7" i="31"/>
  <c r="O7" i="31" s="1"/>
  <c r="D7" i="31"/>
  <c r="C7" i="31"/>
  <c r="B25" i="31"/>
  <c r="N25" i="31" s="1"/>
  <c r="S25" i="31" s="1"/>
  <c r="B7" i="31"/>
  <c r="N7" i="31" s="1"/>
  <c r="S7" i="31" s="1"/>
  <c r="J10" i="5" a="1"/>
  <c r="D10" i="5" a="1"/>
  <c r="J11" i="5" a="1"/>
  <c r="I29" i="5" a="1"/>
  <c r="C28" i="5" a="1"/>
  <c r="H10" i="5" a="1"/>
  <c r="E28" i="5" a="1"/>
  <c r="F11" i="5" a="1"/>
  <c r="C11" i="5" a="1"/>
  <c r="H29" i="5" a="1"/>
  <c r="K11" i="5" a="1"/>
  <c r="I11" i="5" a="1"/>
  <c r="G11" i="5" a="1"/>
  <c r="C29" i="5" a="1"/>
  <c r="E11" i="5" a="1"/>
  <c r="L28" i="5" a="1"/>
  <c r="K29" i="5" a="1"/>
  <c r="L11" i="5" a="1"/>
  <c r="I28" i="5" a="1"/>
  <c r="F10" i="5" a="1"/>
  <c r="G10" i="5" a="1"/>
  <c r="D29" i="5" a="1"/>
  <c r="L10" i="5" a="1"/>
  <c r="D11" i="5" a="1"/>
  <c r="K10" i="5" a="1"/>
  <c r="D28" i="5" a="1"/>
  <c r="F28" i="5" a="1"/>
  <c r="C10" i="5" a="1"/>
  <c r="G29" i="5" a="1"/>
  <c r="F29" i="5" a="1"/>
  <c r="G28" i="5" a="1"/>
  <c r="J28" i="5" a="1"/>
  <c r="H11" i="5" a="1"/>
  <c r="H28" i="5" a="1"/>
  <c r="J29" i="5" a="1"/>
  <c r="E10" i="5" a="1"/>
  <c r="E29" i="5" a="1"/>
  <c r="K28" i="5" a="1"/>
  <c r="I10" i="5" a="1"/>
  <c r="L29" i="5" a="1"/>
  <c r="N6" i="46" l="1"/>
  <c r="J5" i="48"/>
  <c r="P5" i="48"/>
  <c r="P6" i="48"/>
  <c r="J6" i="48"/>
  <c r="R8" i="48"/>
  <c r="L8" i="48"/>
  <c r="P8" i="48"/>
  <c r="J8" i="48"/>
  <c r="P7" i="48"/>
  <c r="J7" i="48"/>
  <c r="N7" i="48"/>
  <c r="H7" i="48"/>
  <c r="N8" i="48"/>
  <c r="H8" i="48"/>
  <c r="O8" i="48"/>
  <c r="I8" i="48"/>
  <c r="H5" i="48"/>
  <c r="N5" i="48"/>
  <c r="N6" i="48"/>
  <c r="H6" i="48"/>
  <c r="O5" i="48"/>
  <c r="I5" i="48"/>
  <c r="O6" i="48"/>
  <c r="I6" i="48"/>
  <c r="O7" i="48"/>
  <c r="I7" i="48"/>
  <c r="K5" i="48"/>
  <c r="Q5" i="48"/>
  <c r="Q6" i="48"/>
  <c r="K6" i="48"/>
  <c r="Q7" i="48"/>
  <c r="K7" i="48"/>
  <c r="Q8" i="48"/>
  <c r="K8" i="48"/>
  <c r="L5" i="48"/>
  <c r="R5" i="48"/>
  <c r="L6" i="48"/>
  <c r="R6" i="48"/>
  <c r="R7" i="48"/>
  <c r="L7" i="48"/>
  <c r="K6" i="46"/>
  <c r="Q6" i="46"/>
  <c r="J8" i="46"/>
  <c r="P8" i="46"/>
  <c r="I6" i="46"/>
  <c r="L7" i="46"/>
  <c r="R7" i="46"/>
  <c r="I7" i="46"/>
  <c r="L5" i="46"/>
  <c r="R5" i="46"/>
  <c r="I5" i="46"/>
  <c r="L6" i="46"/>
  <c r="R6" i="46"/>
  <c r="L8" i="46"/>
  <c r="R8" i="46"/>
  <c r="I8" i="46"/>
  <c r="K7" i="46"/>
  <c r="Q7" i="46"/>
  <c r="J7" i="46"/>
  <c r="P7" i="46"/>
  <c r="K5" i="46"/>
  <c r="Q5" i="46"/>
  <c r="J6" i="46"/>
  <c r="P6" i="46"/>
  <c r="K8" i="46"/>
  <c r="Q8" i="46"/>
  <c r="J5" i="46"/>
  <c r="P5" i="46"/>
  <c r="T7" i="31"/>
  <c r="Q7" i="31"/>
  <c r="T25" i="31"/>
  <c r="Q25" i="31"/>
  <c r="AS12" i="5"/>
  <c r="AT12" i="5"/>
  <c r="AV12" i="5"/>
  <c r="AS25" i="5"/>
  <c r="AV25" i="5"/>
  <c r="AU25" i="5"/>
  <c r="AT25" i="5"/>
  <c r="AU12" i="5"/>
  <c r="J29" i="5"/>
  <c r="I29" i="31" s="1"/>
  <c r="F29" i="5"/>
  <c r="E29" i="31" s="1"/>
  <c r="O29" i="31" s="1"/>
  <c r="K29" i="5"/>
  <c r="J29" i="31" s="1"/>
  <c r="J28" i="5"/>
  <c r="I28" i="31" s="1"/>
  <c r="L28" i="5"/>
  <c r="K28" i="31" s="1"/>
  <c r="R28" i="31" s="1"/>
  <c r="G29" i="5"/>
  <c r="F29" i="31" s="1"/>
  <c r="H29" i="5"/>
  <c r="G29" i="31" s="1"/>
  <c r="F28" i="5"/>
  <c r="E28" i="31" s="1"/>
  <c r="O28" i="31" s="1"/>
  <c r="I29" i="5"/>
  <c r="H29" i="31" s="1"/>
  <c r="P29" i="31" s="1"/>
  <c r="G28" i="5"/>
  <c r="F28" i="31" s="1"/>
  <c r="H28" i="5"/>
  <c r="G28" i="31" s="1"/>
  <c r="K28" i="5"/>
  <c r="J28" i="31" s="1"/>
  <c r="D29" i="5"/>
  <c r="C29" i="31" s="1"/>
  <c r="D28" i="5"/>
  <c r="E28" i="5"/>
  <c r="D28" i="31" s="1"/>
  <c r="I28" i="5"/>
  <c r="H28" i="31" s="1"/>
  <c r="P28" i="31" s="1"/>
  <c r="L29" i="5"/>
  <c r="K29" i="31" s="1"/>
  <c r="R29" i="31" s="1"/>
  <c r="E29" i="5"/>
  <c r="D29" i="31" s="1"/>
  <c r="C28" i="5"/>
  <c r="B28" i="31" s="1"/>
  <c r="N28" i="31" s="1"/>
  <c r="S28" i="31" s="1"/>
  <c r="C29" i="5"/>
  <c r="B29" i="31" s="1"/>
  <c r="N29" i="31" s="1"/>
  <c r="S29" i="31" s="1"/>
  <c r="K10" i="5"/>
  <c r="J10" i="31" s="1"/>
  <c r="E11" i="5"/>
  <c r="D11" i="31" s="1"/>
  <c r="J11" i="5"/>
  <c r="I11" i="31" s="1"/>
  <c r="I10" i="5"/>
  <c r="H10" i="31" s="1"/>
  <c r="P10" i="31" s="1"/>
  <c r="G11" i="5"/>
  <c r="F11" i="31" s="1"/>
  <c r="K11" i="5"/>
  <c r="J11" i="31" s="1"/>
  <c r="J10" i="5"/>
  <c r="I10" i="31" s="1"/>
  <c r="F11" i="5"/>
  <c r="E11" i="31" s="1"/>
  <c r="O11" i="31" s="1"/>
  <c r="E10" i="5"/>
  <c r="D10" i="31" s="1"/>
  <c r="G10" i="5"/>
  <c r="F10" i="31" s="1"/>
  <c r="H11" i="5"/>
  <c r="G11" i="31" s="1"/>
  <c r="I11" i="5"/>
  <c r="H11" i="31" s="1"/>
  <c r="P11" i="31" s="1"/>
  <c r="F10" i="5"/>
  <c r="E10" i="31" s="1"/>
  <c r="O10" i="31" s="1"/>
  <c r="H10" i="5"/>
  <c r="G10" i="31" s="1"/>
  <c r="L11" i="5"/>
  <c r="K11" i="31" s="1"/>
  <c r="R11" i="31" s="1"/>
  <c r="L10" i="5"/>
  <c r="K10" i="31" s="1"/>
  <c r="R10" i="31" s="1"/>
  <c r="C11" i="5"/>
  <c r="B11" i="31" s="1"/>
  <c r="N11" i="31" s="1"/>
  <c r="S11" i="31" s="1"/>
  <c r="C10" i="5"/>
  <c r="B10" i="31" s="1"/>
  <c r="N10" i="31" s="1"/>
  <c r="S10" i="31" s="1"/>
  <c r="D10" i="5"/>
  <c r="C10" i="31" s="1"/>
  <c r="D11" i="5"/>
  <c r="C11" i="31" s="1"/>
  <c r="K6" i="31"/>
  <c r="J6" i="31"/>
  <c r="I6" i="31"/>
  <c r="H6" i="31"/>
  <c r="P6" i="31" s="1"/>
  <c r="G6" i="31"/>
  <c r="F6" i="31"/>
  <c r="E6" i="31"/>
  <c r="O6" i="31" s="1"/>
  <c r="D6" i="31"/>
  <c r="C6" i="31"/>
  <c r="B6" i="31"/>
  <c r="T28" i="31" l="1"/>
  <c r="Q28" i="31"/>
  <c r="T29" i="31"/>
  <c r="Q29" i="31"/>
  <c r="T11" i="31"/>
  <c r="Q11" i="31"/>
  <c r="T10" i="31"/>
  <c r="Q10" i="31"/>
  <c r="Q6" i="31"/>
  <c r="T6" i="31"/>
  <c r="C28" i="31"/>
  <c r="D24" i="31"/>
  <c r="F24" i="31"/>
  <c r="G24" i="31"/>
  <c r="H24" i="31"/>
  <c r="P24" i="31" s="1"/>
  <c r="E24" i="31"/>
  <c r="O24" i="31" s="1"/>
  <c r="C24" i="31"/>
  <c r="I24" i="31"/>
  <c r="J24" i="31"/>
  <c r="K24" i="31"/>
  <c r="R24" i="31" s="1"/>
  <c r="B24" i="31"/>
  <c r="N24" i="31" s="1"/>
  <c r="S24" i="31" s="1"/>
  <c r="T24" i="31" l="1"/>
  <c r="Q24" i="31"/>
  <c r="C25" i="31"/>
  <c r="B51" i="31" l="1"/>
  <c r="N49" i="31" s="1"/>
  <c r="S49" i="31" s="1"/>
  <c r="R51" i="31"/>
  <c r="G53" i="31"/>
  <c r="F53" i="31"/>
  <c r="E53" i="31"/>
  <c r="O51" i="31" s="1"/>
  <c r="D53" i="31"/>
  <c r="C53" i="31"/>
  <c r="H53" i="31"/>
  <c r="P51" i="31" s="1"/>
  <c r="C51" i="31" l="1"/>
  <c r="C54" i="31"/>
  <c r="O50" i="31" l="1"/>
  <c r="O52" i="31" s="1"/>
  <c r="D51" i="31"/>
  <c r="E51" i="31" s="1"/>
  <c r="D54" i="31"/>
  <c r="R6" i="31"/>
  <c r="N6" i="31"/>
  <c r="S6" i="31" s="1"/>
  <c r="F51" i="31" l="1"/>
  <c r="G51" i="31" s="1"/>
  <c r="H51" i="31" s="1"/>
  <c r="I51" i="31" s="1"/>
  <c r="O49" i="31"/>
  <c r="P50" i="31"/>
  <c r="P52" i="31" s="1"/>
  <c r="E54" i="31"/>
  <c r="J54" i="31" l="1"/>
  <c r="J51" i="31"/>
  <c r="K51" i="31"/>
  <c r="R49" i="31" s="1"/>
  <c r="T50" i="31"/>
  <c r="T52" i="31" s="1"/>
  <c r="Q50" i="31"/>
  <c r="Q52" i="31" s="1"/>
  <c r="I54" i="31"/>
  <c r="P49" i="31"/>
  <c r="F54" i="31"/>
  <c r="K54" i="31" l="1"/>
  <c r="R50" i="31"/>
  <c r="R52" i="31" s="1"/>
  <c r="Q49" i="31"/>
  <c r="T49" i="31"/>
  <c r="G54" i="31"/>
  <c r="H54" i="31" l="1"/>
  <c r="S89" i="29" l="1"/>
  <c r="P89" i="29"/>
  <c r="M89" i="29"/>
  <c r="T89" i="29"/>
  <c r="J89" i="29"/>
  <c r="H89" i="29"/>
  <c r="G92" i="29"/>
  <c r="N90" i="29"/>
  <c r="B90" i="29"/>
  <c r="K91" i="29"/>
  <c r="V92" i="29"/>
  <c r="T92" i="29"/>
  <c r="J92" i="29"/>
  <c r="H92" i="29"/>
  <c r="S91" i="29"/>
  <c r="Q90" i="29"/>
  <c r="G90" i="29"/>
  <c r="E90" i="29"/>
  <c r="V89" i="28"/>
  <c r="J89" i="28"/>
  <c r="S89" i="28"/>
  <c r="G89" i="28"/>
  <c r="N89" i="28"/>
  <c r="D89" i="28"/>
  <c r="B89" i="28"/>
  <c r="K89" i="28"/>
  <c r="J92" i="28"/>
  <c r="G90" i="28"/>
  <c r="P91" i="28"/>
  <c r="N91" i="28"/>
  <c r="B91" i="28"/>
  <c r="K92" i="28"/>
  <c r="V90" i="28"/>
  <c r="T90" i="28"/>
  <c r="J91" i="28"/>
  <c r="H91" i="28"/>
  <c r="V89" i="27"/>
  <c r="D89" i="27"/>
  <c r="T90" i="27"/>
  <c r="Q90" i="27"/>
  <c r="H90" i="27"/>
  <c r="E90" i="27"/>
  <c r="I91" i="27"/>
  <c r="N92" i="27"/>
  <c r="D92" i="27"/>
  <c r="B92" i="27"/>
  <c r="O91" i="27"/>
  <c r="K90" i="27"/>
  <c r="V89" i="26"/>
  <c r="J89" i="26"/>
  <c r="D89" i="26"/>
  <c r="S89" i="26"/>
  <c r="L89" i="26"/>
  <c r="G89" i="26"/>
  <c r="U90" i="26"/>
  <c r="R90" i="26"/>
  <c r="O90" i="26"/>
  <c r="G90" i="26"/>
  <c r="V91" i="26"/>
  <c r="R91" i="26"/>
  <c r="O91" i="26"/>
  <c r="L91" i="26"/>
  <c r="D91" i="26"/>
  <c r="S92" i="26"/>
  <c r="O92" i="26"/>
  <c r="L92" i="26"/>
  <c r="I92" i="26"/>
  <c r="R92" i="26"/>
  <c r="F90" i="26"/>
  <c r="D90" i="26"/>
  <c r="U89" i="25"/>
  <c r="V89" i="25"/>
  <c r="R89" i="25"/>
  <c r="O89" i="25"/>
  <c r="L89" i="25"/>
  <c r="D89" i="25"/>
  <c r="C89" i="25"/>
  <c r="U92" i="25"/>
  <c r="M92" i="25"/>
  <c r="I92" i="25"/>
  <c r="R90" i="25"/>
  <c r="P90" i="25"/>
  <c r="L90" i="25"/>
  <c r="K90" i="25"/>
  <c r="I90" i="25"/>
  <c r="O91" i="25"/>
  <c r="M91" i="25"/>
  <c r="I91" i="25"/>
  <c r="F91" i="25"/>
  <c r="L92" i="25"/>
  <c r="J92" i="25"/>
  <c r="F92" i="25"/>
  <c r="C92" i="25"/>
  <c r="S90" i="25"/>
  <c r="O90" i="25"/>
  <c r="L91" i="25"/>
  <c r="P89" i="24"/>
  <c r="L89" i="24"/>
  <c r="S89" i="24"/>
  <c r="R89" i="24"/>
  <c r="O89" i="24"/>
  <c r="I89" i="24"/>
  <c r="J92" i="24"/>
  <c r="O90" i="24"/>
  <c r="M90" i="24"/>
  <c r="L90" i="24"/>
  <c r="I90" i="24"/>
  <c r="U91" i="24"/>
  <c r="L91" i="24"/>
  <c r="J91" i="24"/>
  <c r="I91" i="24"/>
  <c r="F91" i="24"/>
  <c r="U92" i="24"/>
  <c r="R92" i="24"/>
  <c r="I92" i="24"/>
  <c r="G92" i="24"/>
  <c r="F92" i="24"/>
  <c r="C92" i="24"/>
  <c r="P90" i="24"/>
  <c r="F90" i="24"/>
  <c r="C91" i="24"/>
  <c r="V58" i="29"/>
  <c r="S58" i="29"/>
  <c r="D58" i="29"/>
  <c r="J61" i="29"/>
  <c r="S59" i="29"/>
  <c r="M59" i="29"/>
  <c r="P60" i="29"/>
  <c r="J60" i="29"/>
  <c r="M61" i="29"/>
  <c r="G61" i="29"/>
  <c r="P59" i="29"/>
  <c r="M60" i="29"/>
  <c r="I58" i="28"/>
  <c r="O58" i="28"/>
  <c r="L58" i="28"/>
  <c r="L59" i="28"/>
  <c r="I59" i="28"/>
  <c r="F59" i="28"/>
  <c r="U60" i="28"/>
  <c r="I60" i="28"/>
  <c r="F60" i="28"/>
  <c r="C60" i="28"/>
  <c r="S61" i="28"/>
  <c r="F61" i="28"/>
  <c r="C61" i="28"/>
  <c r="J58" i="27"/>
  <c r="F58" i="27"/>
  <c r="O59" i="27"/>
  <c r="G59" i="27"/>
  <c r="P60" i="27"/>
  <c r="L60" i="27"/>
  <c r="U61" i="27"/>
  <c r="R61" i="27"/>
  <c r="O61" i="27"/>
  <c r="S60" i="27"/>
  <c r="J59" i="27"/>
  <c r="V58" i="26"/>
  <c r="D58" i="26"/>
  <c r="G61" i="26"/>
  <c r="S59" i="26"/>
  <c r="G59" i="26"/>
  <c r="D59" i="26"/>
  <c r="G60" i="26"/>
  <c r="C60" i="26"/>
  <c r="U61" i="26"/>
  <c r="D61" i="26"/>
  <c r="V60" i="26"/>
  <c r="R28" i="29"/>
  <c r="F28" i="29"/>
  <c r="P30" i="29"/>
  <c r="L30" i="29"/>
  <c r="D30" i="29"/>
  <c r="U27" i="29"/>
  <c r="R29" i="29"/>
  <c r="M28" i="29"/>
  <c r="I28" i="29"/>
  <c r="F29" i="29"/>
  <c r="R27" i="28"/>
  <c r="U28" i="28"/>
  <c r="O30" i="28"/>
  <c r="G30" i="28"/>
  <c r="C30" i="28"/>
  <c r="P28" i="28"/>
  <c r="M29" i="28"/>
  <c r="D28" i="28"/>
  <c r="F28" i="27"/>
  <c r="V30" i="27"/>
  <c r="F30" i="27"/>
  <c r="S28" i="27"/>
  <c r="D29" i="27"/>
  <c r="C28" i="27"/>
  <c r="U27" i="26"/>
  <c r="U30" i="26"/>
  <c r="S29" i="26"/>
  <c r="J28" i="26"/>
  <c r="L30" i="25"/>
  <c r="D30" i="25"/>
  <c r="U92" i="29"/>
  <c r="S92" i="29"/>
  <c r="R92" i="29"/>
  <c r="P92" i="29"/>
  <c r="O92" i="29"/>
  <c r="N92" i="29"/>
  <c r="M92" i="29"/>
  <c r="L92" i="29"/>
  <c r="K92" i="29"/>
  <c r="I92" i="29"/>
  <c r="F92" i="29"/>
  <c r="D92" i="29"/>
  <c r="C92" i="29"/>
  <c r="B92" i="29"/>
  <c r="V91" i="29"/>
  <c r="U91" i="29"/>
  <c r="T91" i="29"/>
  <c r="R91" i="29"/>
  <c r="P91" i="29"/>
  <c r="O91" i="29"/>
  <c r="N91" i="29"/>
  <c r="M91" i="29"/>
  <c r="L91" i="29"/>
  <c r="J91" i="29"/>
  <c r="I91" i="29"/>
  <c r="H91" i="29"/>
  <c r="F91" i="29"/>
  <c r="D91" i="29"/>
  <c r="C91" i="29"/>
  <c r="B91" i="29"/>
  <c r="V90" i="29"/>
  <c r="U90" i="29"/>
  <c r="T90" i="29"/>
  <c r="S90" i="29"/>
  <c r="R90" i="29"/>
  <c r="P90" i="29"/>
  <c r="O90" i="29"/>
  <c r="M90" i="29"/>
  <c r="L90" i="29"/>
  <c r="K90" i="29"/>
  <c r="J90" i="29"/>
  <c r="I90" i="29"/>
  <c r="H90" i="29"/>
  <c r="F90" i="29"/>
  <c r="D90" i="29"/>
  <c r="C90" i="29"/>
  <c r="V89" i="29"/>
  <c r="U89" i="29"/>
  <c r="R89" i="29"/>
  <c r="O89" i="29"/>
  <c r="L89" i="29"/>
  <c r="I89" i="29"/>
  <c r="G89" i="29"/>
  <c r="F89" i="29"/>
  <c r="D89" i="29"/>
  <c r="C89" i="29"/>
  <c r="V61" i="29"/>
  <c r="U61" i="29"/>
  <c r="S61" i="29"/>
  <c r="R61" i="29"/>
  <c r="P61" i="29"/>
  <c r="O61" i="29"/>
  <c r="L61" i="29"/>
  <c r="I61" i="29"/>
  <c r="F61" i="29"/>
  <c r="D61" i="29"/>
  <c r="C61" i="29"/>
  <c r="V60" i="29"/>
  <c r="U60" i="29"/>
  <c r="S60" i="29"/>
  <c r="R60" i="29"/>
  <c r="O60" i="29"/>
  <c r="L60" i="29"/>
  <c r="I60" i="29"/>
  <c r="G60" i="29"/>
  <c r="F60" i="29"/>
  <c r="D60" i="29"/>
  <c r="C60" i="29"/>
  <c r="V59" i="29"/>
  <c r="U59" i="29"/>
  <c r="R59" i="29"/>
  <c r="O59" i="29"/>
  <c r="L59" i="29"/>
  <c r="J59" i="29"/>
  <c r="I59" i="29"/>
  <c r="G59" i="29"/>
  <c r="F59" i="29"/>
  <c r="D59" i="29"/>
  <c r="C59" i="29"/>
  <c r="U58" i="29"/>
  <c r="R58" i="29"/>
  <c r="O58" i="29"/>
  <c r="M58" i="29"/>
  <c r="L58" i="29"/>
  <c r="J58" i="29"/>
  <c r="I58" i="29"/>
  <c r="G58" i="29"/>
  <c r="F58" i="29"/>
  <c r="C58" i="29"/>
  <c r="V30" i="29"/>
  <c r="F30" i="29"/>
  <c r="V29" i="29"/>
  <c r="S29" i="29"/>
  <c r="J29" i="29"/>
  <c r="J28" i="29"/>
  <c r="O27" i="29"/>
  <c r="D27" i="29"/>
  <c r="V92" i="28"/>
  <c r="U92" i="28"/>
  <c r="S92" i="28"/>
  <c r="R92" i="28"/>
  <c r="P92" i="28"/>
  <c r="O92" i="28"/>
  <c r="N92" i="28"/>
  <c r="M92" i="28"/>
  <c r="L92" i="28"/>
  <c r="I92" i="28"/>
  <c r="G92" i="28"/>
  <c r="F92" i="28"/>
  <c r="D92" i="28"/>
  <c r="C92" i="28"/>
  <c r="B92" i="28"/>
  <c r="V91" i="28"/>
  <c r="U91" i="28"/>
  <c r="S91" i="28"/>
  <c r="R91" i="28"/>
  <c r="Q91" i="28"/>
  <c r="O91" i="28"/>
  <c r="M91" i="28"/>
  <c r="L91" i="28"/>
  <c r="I91" i="28"/>
  <c r="G91" i="28"/>
  <c r="F91" i="28"/>
  <c r="E91" i="28"/>
  <c r="D91" i="28"/>
  <c r="C91" i="28"/>
  <c r="U90" i="28"/>
  <c r="S90" i="28"/>
  <c r="R90" i="28"/>
  <c r="P90" i="28"/>
  <c r="O90" i="28"/>
  <c r="N90" i="28"/>
  <c r="M90" i="28"/>
  <c r="L90" i="28"/>
  <c r="K90" i="28"/>
  <c r="J90" i="28"/>
  <c r="I90" i="28"/>
  <c r="F90" i="28"/>
  <c r="D90" i="28"/>
  <c r="C90" i="28"/>
  <c r="B90" i="28"/>
  <c r="U89" i="28"/>
  <c r="R89" i="28"/>
  <c r="P89" i="28"/>
  <c r="O89" i="28"/>
  <c r="M89" i="28"/>
  <c r="L89" i="28"/>
  <c r="I89" i="28"/>
  <c r="F89" i="28"/>
  <c r="C89" i="28"/>
  <c r="U61" i="28"/>
  <c r="R61" i="28"/>
  <c r="P61" i="28"/>
  <c r="O61" i="28"/>
  <c r="M61" i="28"/>
  <c r="L61" i="28"/>
  <c r="I61" i="28"/>
  <c r="G61" i="28"/>
  <c r="D61" i="28"/>
  <c r="V60" i="28"/>
  <c r="S60" i="28"/>
  <c r="R60" i="28"/>
  <c r="P60" i="28"/>
  <c r="O60" i="28"/>
  <c r="M60" i="28"/>
  <c r="L60" i="28"/>
  <c r="J60" i="28"/>
  <c r="G60" i="28"/>
  <c r="D60" i="28"/>
  <c r="V59" i="28"/>
  <c r="U59" i="28"/>
  <c r="S59" i="28"/>
  <c r="R59" i="28"/>
  <c r="P59" i="28"/>
  <c r="O59" i="28"/>
  <c r="M59" i="28"/>
  <c r="J59" i="28"/>
  <c r="G59" i="28"/>
  <c r="D59" i="28"/>
  <c r="C59" i="28"/>
  <c r="V58" i="28"/>
  <c r="U58" i="28"/>
  <c r="S58" i="28"/>
  <c r="R58" i="28"/>
  <c r="P58" i="28"/>
  <c r="M58" i="28"/>
  <c r="J58" i="28"/>
  <c r="G58" i="28"/>
  <c r="F58" i="28"/>
  <c r="D58" i="28"/>
  <c r="C58" i="28"/>
  <c r="P30" i="28"/>
  <c r="S28" i="28"/>
  <c r="O28" i="28"/>
  <c r="S27" i="28"/>
  <c r="I27" i="28"/>
  <c r="V92" i="27"/>
  <c r="U92" i="27"/>
  <c r="S92" i="27"/>
  <c r="R92" i="27"/>
  <c r="P92" i="27"/>
  <c r="O92" i="27"/>
  <c r="M92" i="27"/>
  <c r="L92" i="27"/>
  <c r="J92" i="27"/>
  <c r="I92" i="27"/>
  <c r="G92" i="27"/>
  <c r="F92" i="27"/>
  <c r="C92" i="27"/>
  <c r="V91" i="27"/>
  <c r="U91" i="27"/>
  <c r="S91" i="27"/>
  <c r="R91" i="27"/>
  <c r="P91" i="27"/>
  <c r="N91" i="27"/>
  <c r="M91" i="27"/>
  <c r="L91" i="27"/>
  <c r="J91" i="27"/>
  <c r="G91" i="27"/>
  <c r="F91" i="27"/>
  <c r="D91" i="27"/>
  <c r="C91" i="27"/>
  <c r="V90" i="27"/>
  <c r="U90" i="27"/>
  <c r="S90" i="27"/>
  <c r="R90" i="27"/>
  <c r="P90" i="27"/>
  <c r="M90" i="27"/>
  <c r="L90" i="27"/>
  <c r="J90" i="27"/>
  <c r="I90" i="27"/>
  <c r="G90" i="27"/>
  <c r="F90" i="27"/>
  <c r="D90" i="27"/>
  <c r="C90" i="27"/>
  <c r="U89" i="27"/>
  <c r="S89" i="27"/>
  <c r="R89" i="27"/>
  <c r="P89" i="27"/>
  <c r="M89" i="27"/>
  <c r="L89" i="27"/>
  <c r="J89" i="27"/>
  <c r="I89" i="27"/>
  <c r="G89" i="27"/>
  <c r="F89" i="27"/>
  <c r="C89" i="27"/>
  <c r="V61" i="27"/>
  <c r="S61" i="27"/>
  <c r="P61" i="27"/>
  <c r="J61" i="27"/>
  <c r="I61" i="27"/>
  <c r="G61" i="27"/>
  <c r="F61" i="27"/>
  <c r="D61" i="27"/>
  <c r="C61" i="27"/>
  <c r="V60" i="27"/>
  <c r="R60" i="27"/>
  <c r="M60" i="27"/>
  <c r="J60" i="27"/>
  <c r="G60" i="27"/>
  <c r="F60" i="27"/>
  <c r="D60" i="27"/>
  <c r="U59" i="27"/>
  <c r="S59" i="27"/>
  <c r="P59" i="27"/>
  <c r="L59" i="27"/>
  <c r="I59" i="27"/>
  <c r="D59" i="27"/>
  <c r="C59" i="27"/>
  <c r="V58" i="27"/>
  <c r="S58" i="27"/>
  <c r="R58" i="27"/>
  <c r="M58" i="27"/>
  <c r="L58" i="27"/>
  <c r="G58" i="27"/>
  <c r="G30" i="27"/>
  <c r="D30" i="27"/>
  <c r="J29" i="27"/>
  <c r="V92" i="26"/>
  <c r="U92" i="26"/>
  <c r="P92" i="26"/>
  <c r="M92" i="26"/>
  <c r="J92" i="26"/>
  <c r="G92" i="26"/>
  <c r="F92" i="26"/>
  <c r="D92" i="26"/>
  <c r="C92" i="26"/>
  <c r="U91" i="26"/>
  <c r="S91" i="26"/>
  <c r="P91" i="26"/>
  <c r="M91" i="26"/>
  <c r="J91" i="26"/>
  <c r="I91" i="26"/>
  <c r="G91" i="26"/>
  <c r="F91" i="26"/>
  <c r="C91" i="26"/>
  <c r="V90" i="26"/>
  <c r="S90" i="26"/>
  <c r="P90" i="26"/>
  <c r="M90" i="26"/>
  <c r="L90" i="26"/>
  <c r="J90" i="26"/>
  <c r="I90" i="26"/>
  <c r="E90" i="26"/>
  <c r="C90" i="26"/>
  <c r="U89" i="26"/>
  <c r="R89" i="26"/>
  <c r="P89" i="26"/>
  <c r="O89" i="26"/>
  <c r="M89" i="26"/>
  <c r="I89" i="26"/>
  <c r="F89" i="26"/>
  <c r="C89" i="26"/>
  <c r="V61" i="26"/>
  <c r="R61" i="26"/>
  <c r="P61" i="26"/>
  <c r="O61" i="26"/>
  <c r="M61" i="26"/>
  <c r="L61" i="26"/>
  <c r="J61" i="26"/>
  <c r="I61" i="26"/>
  <c r="F61" i="26"/>
  <c r="C61" i="26"/>
  <c r="U60" i="26"/>
  <c r="S60" i="26"/>
  <c r="R60" i="26"/>
  <c r="O60" i="26"/>
  <c r="M60" i="26"/>
  <c r="J60" i="26"/>
  <c r="I60" i="26"/>
  <c r="D60" i="26"/>
  <c r="V59" i="26"/>
  <c r="R59" i="26"/>
  <c r="P59" i="26"/>
  <c r="O59" i="26"/>
  <c r="M59" i="26"/>
  <c r="L59" i="26"/>
  <c r="J59" i="26"/>
  <c r="I59" i="26"/>
  <c r="F59" i="26"/>
  <c r="C59" i="26"/>
  <c r="R58" i="26"/>
  <c r="P58" i="26"/>
  <c r="M58" i="26"/>
  <c r="L58" i="26"/>
  <c r="I58" i="26"/>
  <c r="G58" i="26"/>
  <c r="F58" i="26"/>
  <c r="V92" i="25"/>
  <c r="S92" i="25"/>
  <c r="R92" i="25"/>
  <c r="P92" i="25"/>
  <c r="O92" i="25"/>
  <c r="G92" i="25"/>
  <c r="D92" i="25"/>
  <c r="V91" i="25"/>
  <c r="U91" i="25"/>
  <c r="S91" i="25"/>
  <c r="R91" i="25"/>
  <c r="P91" i="25"/>
  <c r="J91" i="25"/>
  <c r="G91" i="25"/>
  <c r="D91" i="25"/>
  <c r="C91" i="25"/>
  <c r="V90" i="25"/>
  <c r="U90" i="25"/>
  <c r="M90" i="25"/>
  <c r="J90" i="25"/>
  <c r="G90" i="25"/>
  <c r="F90" i="25"/>
  <c r="D90" i="25"/>
  <c r="C90" i="25"/>
  <c r="P89" i="25"/>
  <c r="M89" i="25"/>
  <c r="J89" i="25"/>
  <c r="I89" i="25"/>
  <c r="G89" i="25"/>
  <c r="F89" i="25"/>
  <c r="V92" i="24"/>
  <c r="S92" i="24"/>
  <c r="P92" i="24"/>
  <c r="O92" i="24"/>
  <c r="M92" i="24"/>
  <c r="L92" i="24"/>
  <c r="D92" i="24"/>
  <c r="V91" i="24"/>
  <c r="S91" i="24"/>
  <c r="R91" i="24"/>
  <c r="P91" i="24"/>
  <c r="O91" i="24"/>
  <c r="M91" i="24"/>
  <c r="G91" i="24"/>
  <c r="D91" i="24"/>
  <c r="V90" i="24"/>
  <c r="U90" i="24"/>
  <c r="S90" i="24"/>
  <c r="R90" i="24"/>
  <c r="J90" i="24"/>
  <c r="G90" i="24"/>
  <c r="D90" i="24"/>
  <c r="C90" i="24"/>
  <c r="V89" i="24"/>
  <c r="U89" i="24"/>
  <c r="M89" i="24"/>
  <c r="J89" i="24"/>
  <c r="G89" i="24"/>
  <c r="F89" i="24"/>
  <c r="D89" i="24"/>
  <c r="C89" i="24"/>
  <c r="R30" i="24"/>
  <c r="E8" i="45" a="1"/>
  <c r="F7" i="45" a="1"/>
  <c r="D6" i="45" a="1"/>
  <c r="F6" i="45" a="1"/>
  <c r="C21" i="45" a="1"/>
  <c r="E7" i="45" a="1"/>
  <c r="E21" i="45" a="1"/>
  <c r="E6" i="45" a="1"/>
  <c r="C8" i="45" a="1"/>
  <c r="G23" i="45" a="1"/>
  <c r="C6" i="45" a="1"/>
  <c r="F20" i="45" a="1"/>
  <c r="F23" i="45" a="1"/>
  <c r="C7" i="45" a="1"/>
  <c r="D23" i="45" a="1"/>
  <c r="E5" i="45" a="1"/>
  <c r="G20" i="45" a="1"/>
  <c r="C20" i="45" a="1"/>
  <c r="D8" i="45" a="1"/>
  <c r="C22" i="45" a="1"/>
  <c r="E23" i="45" a="1"/>
  <c r="G21" i="45" a="1"/>
  <c r="D5" i="45" a="1"/>
  <c r="F5" i="45" a="1"/>
  <c r="C5" i="45" a="1"/>
  <c r="D7" i="45" a="1"/>
  <c r="C23" i="45" a="1"/>
  <c r="G22" i="45" a="1"/>
  <c r="F8" i="45" a="1"/>
  <c r="E22" i="45" a="1"/>
  <c r="F21" i="45" a="1"/>
  <c r="D22" i="45" a="1"/>
  <c r="F22" i="45" a="1"/>
  <c r="D21" i="45" a="1"/>
  <c r="G6" i="45" a="1"/>
  <c r="G21" i="45" l="1"/>
  <c r="C7" i="45"/>
  <c r="D21" i="45"/>
  <c r="E7" i="45"/>
  <c r="F7" i="45"/>
  <c r="C21" i="45"/>
  <c r="F21" i="45"/>
  <c r="D6" i="45"/>
  <c r="G6" i="45"/>
  <c r="C6" i="45"/>
  <c r="D23" i="45"/>
  <c r="E6" i="45"/>
  <c r="F6" i="45"/>
  <c r="C23" i="45"/>
  <c r="G23" i="45"/>
  <c r="E23" i="45"/>
  <c r="C8" i="45"/>
  <c r="F23" i="45"/>
  <c r="F8" i="45"/>
  <c r="D22" i="45"/>
  <c r="D8" i="45"/>
  <c r="F20" i="45"/>
  <c r="E21" i="45"/>
  <c r="D5" i="45"/>
  <c r="E8" i="45"/>
  <c r="E5" i="45"/>
  <c r="G22" i="45"/>
  <c r="F5" i="45"/>
  <c r="G20" i="45"/>
  <c r="C22" i="45"/>
  <c r="C5" i="45"/>
  <c r="E22" i="45"/>
  <c r="C20" i="45"/>
  <c r="D7" i="45"/>
  <c r="F22" i="45"/>
  <c r="E89" i="29"/>
  <c r="Q89" i="29"/>
  <c r="O89" i="27"/>
  <c r="O90" i="27"/>
  <c r="S89" i="25"/>
  <c r="G91" i="29"/>
  <c r="T92" i="28"/>
  <c r="Q92" i="29"/>
  <c r="B89" i="29"/>
  <c r="H92" i="28"/>
  <c r="N89" i="29"/>
  <c r="H90" i="28"/>
  <c r="P58" i="29"/>
  <c r="Q92" i="25"/>
  <c r="N89" i="27"/>
  <c r="E92" i="29"/>
  <c r="K89" i="29"/>
  <c r="S61" i="26"/>
  <c r="M59" i="27"/>
  <c r="I29" i="26"/>
  <c r="C28" i="29"/>
  <c r="L61" i="27"/>
  <c r="E91" i="29"/>
  <c r="Q91" i="29"/>
  <c r="T91" i="24"/>
  <c r="H91" i="26"/>
  <c r="T91" i="26"/>
  <c r="B91" i="26"/>
  <c r="N91" i="26"/>
  <c r="Q90" i="26"/>
  <c r="E91" i="27"/>
  <c r="Q91" i="27"/>
  <c r="K91" i="27"/>
  <c r="B90" i="27"/>
  <c r="N90" i="27"/>
  <c r="T91" i="28"/>
  <c r="P60" i="26"/>
  <c r="E92" i="25"/>
  <c r="K90" i="26"/>
  <c r="B92" i="26"/>
  <c r="N92" i="26"/>
  <c r="H91" i="27"/>
  <c r="T91" i="27"/>
  <c r="K92" i="27"/>
  <c r="B91" i="27"/>
  <c r="B89" i="27"/>
  <c r="E90" i="28"/>
  <c r="Q90" i="28"/>
  <c r="K91" i="28"/>
  <c r="E92" i="28"/>
  <c r="Q92" i="28"/>
  <c r="H89" i="28"/>
  <c r="T89" i="28"/>
  <c r="E89" i="28"/>
  <c r="Q89" i="28"/>
  <c r="R28" i="27"/>
  <c r="I30" i="27"/>
  <c r="R30" i="28"/>
  <c r="O30" i="29"/>
  <c r="Q59" i="26"/>
  <c r="K59" i="28"/>
  <c r="B90" i="25"/>
  <c r="N90" i="25"/>
  <c r="B60" i="29"/>
  <c r="T60" i="29"/>
  <c r="E91" i="24"/>
  <c r="Q91" i="24"/>
  <c r="T91" i="25"/>
  <c r="B91" i="25"/>
  <c r="N91" i="25"/>
  <c r="E91" i="26"/>
  <c r="Q91" i="26"/>
  <c r="K91" i="26"/>
  <c r="B90" i="26"/>
  <c r="N90" i="26"/>
  <c r="B90" i="24"/>
  <c r="N90" i="24"/>
  <c r="E92" i="24"/>
  <c r="Q92" i="24"/>
  <c r="B92" i="25"/>
  <c r="N92" i="25"/>
  <c r="K92" i="25"/>
  <c r="K92" i="26"/>
  <c r="B89" i="26"/>
  <c r="N89" i="26"/>
  <c r="H92" i="27"/>
  <c r="T92" i="27"/>
  <c r="E92" i="27"/>
  <c r="Q92" i="27"/>
  <c r="H89" i="27"/>
  <c r="T89" i="27"/>
  <c r="K89" i="27"/>
  <c r="E89" i="27"/>
  <c r="Q89" i="27"/>
  <c r="N30" i="29"/>
  <c r="H90" i="26"/>
  <c r="P27" i="28"/>
  <c r="T90" i="26"/>
  <c r="N29" i="28"/>
  <c r="N60" i="26"/>
  <c r="K60" i="27"/>
  <c r="B60" i="28"/>
  <c r="H60" i="28"/>
  <c r="T60" i="28"/>
  <c r="E60" i="29"/>
  <c r="Q60" i="29"/>
  <c r="B91" i="24"/>
  <c r="N91" i="24"/>
  <c r="K91" i="25"/>
  <c r="H28" i="29"/>
  <c r="B61" i="26"/>
  <c r="N59" i="29"/>
  <c r="E61" i="29"/>
  <c r="Q61" i="29"/>
  <c r="K90" i="24"/>
  <c r="B92" i="24"/>
  <c r="N92" i="24"/>
  <c r="K92" i="24"/>
  <c r="H90" i="25"/>
  <c r="H89" i="25"/>
  <c r="T89" i="25"/>
  <c r="H92" i="26"/>
  <c r="T92" i="26"/>
  <c r="E92" i="26"/>
  <c r="Q92" i="26"/>
  <c r="H89" i="26"/>
  <c r="T89" i="26"/>
  <c r="K89" i="26"/>
  <c r="E89" i="26"/>
  <c r="Q89" i="26"/>
  <c r="C91" i="23"/>
  <c r="O91" i="23"/>
  <c r="I91" i="23"/>
  <c r="U91" i="23"/>
  <c r="L29" i="24"/>
  <c r="F29" i="24"/>
  <c r="I29" i="25"/>
  <c r="C29" i="25"/>
  <c r="F29" i="26"/>
  <c r="R29" i="26"/>
  <c r="L29" i="26"/>
  <c r="O29" i="27"/>
  <c r="I29" i="27"/>
  <c r="U29" i="27"/>
  <c r="L29" i="28"/>
  <c r="F29" i="28"/>
  <c r="R29" i="28"/>
  <c r="C27" i="28"/>
  <c r="O27" i="28"/>
  <c r="C29" i="29"/>
  <c r="O29" i="29"/>
  <c r="L27" i="29"/>
  <c r="C27" i="29"/>
  <c r="L60" i="26"/>
  <c r="F60" i="26"/>
  <c r="I60" i="27"/>
  <c r="U60" i="27"/>
  <c r="C60" i="27"/>
  <c r="O60" i="27"/>
  <c r="V29" i="27"/>
  <c r="H91" i="25"/>
  <c r="B59" i="29"/>
  <c r="N60" i="29"/>
  <c r="K91" i="24"/>
  <c r="T90" i="25"/>
  <c r="T28" i="28"/>
  <c r="Q59" i="27"/>
  <c r="K59" i="29"/>
  <c r="B61" i="29"/>
  <c r="N61" i="29"/>
  <c r="K61" i="29"/>
  <c r="H90" i="24"/>
  <c r="T90" i="24"/>
  <c r="H92" i="24"/>
  <c r="T92" i="24"/>
  <c r="K89" i="24"/>
  <c r="H89" i="24"/>
  <c r="T89" i="24"/>
  <c r="E90" i="25"/>
  <c r="Q90" i="25"/>
  <c r="H92" i="25"/>
  <c r="T92" i="25"/>
  <c r="K89" i="25"/>
  <c r="B89" i="25"/>
  <c r="N89" i="25"/>
  <c r="E89" i="25"/>
  <c r="Q89" i="25"/>
  <c r="I28" i="27"/>
  <c r="L29" i="29"/>
  <c r="P28" i="25"/>
  <c r="D30" i="26"/>
  <c r="J28" i="27"/>
  <c r="G28" i="28"/>
  <c r="H91" i="24"/>
  <c r="G28" i="25"/>
  <c r="G30" i="26"/>
  <c r="M28" i="27"/>
  <c r="P30" i="27"/>
  <c r="J28" i="28"/>
  <c r="V28" i="28"/>
  <c r="M30" i="28"/>
  <c r="S28" i="29"/>
  <c r="J30" i="29"/>
  <c r="D28" i="29"/>
  <c r="P28" i="29"/>
  <c r="K28" i="27"/>
  <c r="H59" i="26"/>
  <c r="T59" i="26"/>
  <c r="E59" i="27"/>
  <c r="B59" i="28"/>
  <c r="F27" i="29"/>
  <c r="U59" i="26"/>
  <c r="C58" i="26"/>
  <c r="O58" i="26"/>
  <c r="F59" i="27"/>
  <c r="K29" i="29"/>
  <c r="B60" i="26"/>
  <c r="H60" i="26"/>
  <c r="T60" i="26"/>
  <c r="E60" i="27"/>
  <c r="Q60" i="27"/>
  <c r="N60" i="28"/>
  <c r="K60" i="29"/>
  <c r="E91" i="25"/>
  <c r="Q91" i="25"/>
  <c r="E59" i="26"/>
  <c r="E61" i="26"/>
  <c r="B59" i="27"/>
  <c r="N59" i="27"/>
  <c r="E61" i="27"/>
  <c r="Q61" i="27"/>
  <c r="B61" i="28"/>
  <c r="N61" i="28"/>
  <c r="K61" i="28"/>
  <c r="B58" i="28"/>
  <c r="H59" i="29"/>
  <c r="T58" i="29"/>
  <c r="E59" i="29"/>
  <c r="Q59" i="29"/>
  <c r="H61" i="29"/>
  <c r="T61" i="29"/>
  <c r="K58" i="29"/>
  <c r="B58" i="29"/>
  <c r="N58" i="29"/>
  <c r="H58" i="29"/>
  <c r="E90" i="24"/>
  <c r="Q90" i="24"/>
  <c r="B89" i="24"/>
  <c r="N89" i="24"/>
  <c r="E89" i="24"/>
  <c r="Q89" i="24"/>
  <c r="H60" i="29"/>
  <c r="C28" i="28"/>
  <c r="T59" i="29"/>
  <c r="F30" i="25"/>
  <c r="R30" i="25"/>
  <c r="C30" i="26"/>
  <c r="R29" i="27"/>
  <c r="I29" i="28"/>
  <c r="U29" i="28"/>
  <c r="O29" i="28"/>
  <c r="F28" i="28"/>
  <c r="H60" i="27"/>
  <c r="T60" i="27"/>
  <c r="B60" i="27"/>
  <c r="N60" i="27"/>
  <c r="E60" i="28"/>
  <c r="Q60" i="28"/>
  <c r="K60" i="28"/>
  <c r="N59" i="28"/>
  <c r="I27" i="29"/>
  <c r="B28" i="28"/>
  <c r="Q30" i="28"/>
  <c r="B30" i="28"/>
  <c r="Q61" i="26"/>
  <c r="N61" i="26"/>
  <c r="T58" i="26"/>
  <c r="K59" i="27"/>
  <c r="B61" i="27"/>
  <c r="N61" i="27"/>
  <c r="K58" i="27"/>
  <c r="H59" i="28"/>
  <c r="T59" i="28"/>
  <c r="E59" i="28"/>
  <c r="Q59" i="28"/>
  <c r="N58" i="28"/>
  <c r="E58" i="29"/>
  <c r="Q58" i="29"/>
  <c r="G29" i="25"/>
  <c r="V30" i="26"/>
  <c r="M28" i="28"/>
  <c r="V28" i="29"/>
  <c r="P27" i="29"/>
  <c r="S27" i="29"/>
  <c r="S58" i="26"/>
  <c r="J58" i="26"/>
  <c r="V59" i="27"/>
  <c r="D58" i="27"/>
  <c r="P58" i="27"/>
  <c r="V61" i="28"/>
  <c r="L29" i="25"/>
  <c r="C29" i="26"/>
  <c r="O29" i="26"/>
  <c r="F29" i="27"/>
  <c r="C29" i="28"/>
  <c r="D30" i="28"/>
  <c r="M61" i="27"/>
  <c r="J61" i="28"/>
  <c r="K28" i="29"/>
  <c r="B59" i="26"/>
  <c r="N59" i="26"/>
  <c r="U29" i="25"/>
  <c r="C29" i="27"/>
  <c r="U30" i="27"/>
  <c r="O27" i="27"/>
  <c r="R28" i="28"/>
  <c r="I30" i="28"/>
  <c r="U30" i="28"/>
  <c r="O28" i="29"/>
  <c r="R30" i="29"/>
  <c r="I29" i="29"/>
  <c r="U29" i="29"/>
  <c r="L28" i="28"/>
  <c r="B29" i="26"/>
  <c r="Q30" i="26"/>
  <c r="D29" i="24"/>
  <c r="M29" i="25"/>
  <c r="V29" i="26"/>
  <c r="G29" i="27"/>
  <c r="P27" i="27"/>
  <c r="M27" i="27"/>
  <c r="D29" i="28"/>
  <c r="P29" i="28"/>
  <c r="J30" i="28"/>
  <c r="M27" i="28"/>
  <c r="D27" i="28"/>
  <c r="G27" i="28"/>
  <c r="G27" i="29"/>
  <c r="M29" i="29"/>
  <c r="G30" i="29"/>
  <c r="J27" i="29"/>
  <c r="V27" i="29"/>
  <c r="M27" i="29"/>
  <c r="E30" i="26"/>
  <c r="E30" i="27"/>
  <c r="Q30" i="27"/>
  <c r="B30" i="27"/>
  <c r="N30" i="27"/>
  <c r="K30" i="28"/>
  <c r="H27" i="28"/>
  <c r="T28" i="29"/>
  <c r="E27" i="29"/>
  <c r="K59" i="26"/>
  <c r="K61" i="26"/>
  <c r="B58" i="26"/>
  <c r="N58" i="26"/>
  <c r="E58" i="26"/>
  <c r="Q58" i="26"/>
  <c r="H58" i="26"/>
  <c r="K61" i="27"/>
  <c r="H61" i="27"/>
  <c r="T61" i="27"/>
  <c r="B58" i="27"/>
  <c r="N58" i="27"/>
  <c r="E58" i="27"/>
  <c r="Q58" i="27"/>
  <c r="H58" i="27"/>
  <c r="T58" i="27"/>
  <c r="H61" i="28"/>
  <c r="T61" i="28"/>
  <c r="E61" i="28"/>
  <c r="Q61" i="28"/>
  <c r="H58" i="28"/>
  <c r="T58" i="28"/>
  <c r="K58" i="28"/>
  <c r="E58" i="28"/>
  <c r="Q58" i="28"/>
  <c r="F27" i="27"/>
  <c r="U30" i="29"/>
  <c r="U58" i="26"/>
  <c r="R59" i="27"/>
  <c r="U30" i="25"/>
  <c r="C30" i="27"/>
  <c r="O30" i="27"/>
  <c r="R27" i="27"/>
  <c r="I28" i="28"/>
  <c r="L30" i="28"/>
  <c r="F28" i="26"/>
  <c r="D30" i="24"/>
  <c r="G29" i="28"/>
  <c r="S29" i="28"/>
  <c r="D29" i="29"/>
  <c r="P29" i="29"/>
  <c r="I30" i="29"/>
  <c r="C58" i="27"/>
  <c r="O58" i="27"/>
  <c r="I58" i="27"/>
  <c r="U58" i="27"/>
  <c r="K60" i="26"/>
  <c r="T59" i="27"/>
  <c r="H59" i="27"/>
  <c r="U92" i="23"/>
  <c r="O90" i="23"/>
  <c r="L28" i="24"/>
  <c r="R27" i="24"/>
  <c r="L27" i="24"/>
  <c r="C30" i="25"/>
  <c r="I28" i="25"/>
  <c r="U28" i="25"/>
  <c r="O27" i="25"/>
  <c r="U28" i="26"/>
  <c r="L30" i="26"/>
  <c r="R28" i="26"/>
  <c r="R27" i="26"/>
  <c r="O28" i="27"/>
  <c r="I27" i="27"/>
  <c r="C27" i="27"/>
  <c r="F30" i="28"/>
  <c r="F27" i="28"/>
  <c r="U27" i="28"/>
  <c r="L27" i="28"/>
  <c r="L28" i="29"/>
  <c r="C30" i="29"/>
  <c r="U28" i="29"/>
  <c r="R27" i="29"/>
  <c r="D29" i="26"/>
  <c r="G27" i="27"/>
  <c r="V27" i="27"/>
  <c r="V27" i="28"/>
  <c r="J30" i="26"/>
  <c r="M27" i="26"/>
  <c r="S29" i="27"/>
  <c r="M29" i="27"/>
  <c r="S30" i="27"/>
  <c r="V29" i="28"/>
  <c r="J27" i="28"/>
  <c r="G29" i="29"/>
  <c r="M30" i="29"/>
  <c r="E30" i="28"/>
  <c r="K27" i="28"/>
  <c r="B28" i="29"/>
  <c r="N29" i="29"/>
  <c r="E30" i="29"/>
  <c r="Q30" i="29"/>
  <c r="T27" i="29"/>
  <c r="E60" i="26"/>
  <c r="Q60" i="26"/>
  <c r="H61" i="26"/>
  <c r="T61" i="26"/>
  <c r="D28" i="26"/>
  <c r="M91" i="23"/>
  <c r="S27" i="25"/>
  <c r="P29" i="26"/>
  <c r="J29" i="28"/>
  <c r="V30" i="28"/>
  <c r="S30" i="29"/>
  <c r="V29" i="24"/>
  <c r="C30" i="24"/>
  <c r="S29" i="25"/>
  <c r="L28" i="25"/>
  <c r="G28" i="29"/>
  <c r="L90" i="23"/>
  <c r="O92" i="23"/>
  <c r="I90" i="23"/>
  <c r="U90" i="23"/>
  <c r="L30" i="24"/>
  <c r="F28" i="24"/>
  <c r="R28" i="24"/>
  <c r="I30" i="24"/>
  <c r="F29" i="25"/>
  <c r="I30" i="25"/>
  <c r="C28" i="25"/>
  <c r="O28" i="25"/>
  <c r="I27" i="25"/>
  <c r="C27" i="26"/>
  <c r="O27" i="26"/>
  <c r="F30" i="26"/>
  <c r="R30" i="26"/>
  <c r="L28" i="26"/>
  <c r="F27" i="26"/>
  <c r="L27" i="27"/>
  <c r="U28" i="27"/>
  <c r="L30" i="27"/>
  <c r="J29" i="26"/>
  <c r="D90" i="23"/>
  <c r="V28" i="24"/>
  <c r="M30" i="24"/>
  <c r="M30" i="25"/>
  <c r="D29" i="25"/>
  <c r="V30" i="25"/>
  <c r="M27" i="25"/>
  <c r="P27" i="25"/>
  <c r="G27" i="26"/>
  <c r="M29" i="26"/>
  <c r="P28" i="26"/>
  <c r="S30" i="26"/>
  <c r="S27" i="27"/>
  <c r="J27" i="27"/>
  <c r="J27" i="26"/>
  <c r="K29" i="25"/>
  <c r="H29" i="26"/>
  <c r="K29" i="27"/>
  <c r="B29" i="28"/>
  <c r="H29" i="28"/>
  <c r="T29" i="28"/>
  <c r="E29" i="29"/>
  <c r="Q29" i="29"/>
  <c r="C27" i="24"/>
  <c r="L27" i="25"/>
  <c r="I30" i="26"/>
  <c r="R30" i="27"/>
  <c r="B30" i="29"/>
  <c r="K58" i="26"/>
  <c r="J29" i="24"/>
  <c r="O30" i="24"/>
  <c r="J29" i="25"/>
  <c r="M28" i="25"/>
  <c r="P30" i="25"/>
  <c r="J27" i="25"/>
  <c r="M28" i="26"/>
  <c r="G29" i="26"/>
  <c r="S27" i="26"/>
  <c r="V28" i="27"/>
  <c r="C28" i="26"/>
  <c r="L28" i="27"/>
  <c r="B29" i="29"/>
  <c r="I92" i="23"/>
  <c r="F90" i="23"/>
  <c r="F30" i="24"/>
  <c r="C28" i="24"/>
  <c r="O28" i="24"/>
  <c r="I28" i="26"/>
  <c r="C27" i="25"/>
  <c r="U29" i="26"/>
  <c r="I27" i="26"/>
  <c r="C89" i="23"/>
  <c r="L27" i="26"/>
  <c r="N28" i="29"/>
  <c r="M90" i="23"/>
  <c r="D28" i="25"/>
  <c r="P27" i="26"/>
  <c r="U89" i="23"/>
  <c r="I29" i="24"/>
  <c r="U27" i="24"/>
  <c r="F27" i="24"/>
  <c r="R29" i="25"/>
  <c r="U27" i="25"/>
  <c r="O30" i="26"/>
  <c r="H28" i="28"/>
  <c r="H29" i="29"/>
  <c r="T29" i="29"/>
  <c r="E28" i="29"/>
  <c r="Q28" i="29"/>
  <c r="O28" i="26"/>
  <c r="O27" i="24"/>
  <c r="N27" i="27"/>
  <c r="N28" i="28"/>
  <c r="N30" i="28"/>
  <c r="T27" i="28"/>
  <c r="Q27" i="29"/>
  <c r="H27" i="29"/>
  <c r="F28" i="25"/>
  <c r="P28" i="24"/>
  <c r="M28" i="24"/>
  <c r="J28" i="25"/>
  <c r="V28" i="25"/>
  <c r="D27" i="25"/>
  <c r="M30" i="26"/>
  <c r="G28" i="26"/>
  <c r="S28" i="26"/>
  <c r="J30" i="27"/>
  <c r="D28" i="27"/>
  <c r="P28" i="27"/>
  <c r="R29" i="24"/>
  <c r="O29" i="25"/>
  <c r="O30" i="25"/>
  <c r="R27" i="25"/>
  <c r="P29" i="25"/>
  <c r="G30" i="25"/>
  <c r="S30" i="25"/>
  <c r="V29" i="25"/>
  <c r="G27" i="25"/>
  <c r="P30" i="26"/>
  <c r="V28" i="26"/>
  <c r="D27" i="26"/>
  <c r="M30" i="27"/>
  <c r="P29" i="27"/>
  <c r="G28" i="27"/>
  <c r="D27" i="27"/>
  <c r="S30" i="28"/>
  <c r="U27" i="27"/>
  <c r="D92" i="23"/>
  <c r="G91" i="23"/>
  <c r="S91" i="23"/>
  <c r="P29" i="24"/>
  <c r="V27" i="25"/>
  <c r="K28" i="28"/>
  <c r="K30" i="29"/>
  <c r="H30" i="29"/>
  <c r="T30" i="29"/>
  <c r="K27" i="29"/>
  <c r="B27" i="29"/>
  <c r="N27" i="29"/>
  <c r="P90" i="23"/>
  <c r="G92" i="23"/>
  <c r="S92" i="23"/>
  <c r="P30" i="24"/>
  <c r="J28" i="24"/>
  <c r="S28" i="25"/>
  <c r="J30" i="25"/>
  <c r="V27" i="26"/>
  <c r="L29" i="27"/>
  <c r="O89" i="23"/>
  <c r="R28" i="25"/>
  <c r="P92" i="23"/>
  <c r="U29" i="24"/>
  <c r="F27" i="25"/>
  <c r="H29" i="25"/>
  <c r="T29" i="25"/>
  <c r="H29" i="27"/>
  <c r="T29" i="27"/>
  <c r="B29" i="27"/>
  <c r="N29" i="27"/>
  <c r="E28" i="27"/>
  <c r="Q28" i="27"/>
  <c r="K29" i="28"/>
  <c r="U28" i="24"/>
  <c r="R89" i="23"/>
  <c r="C29" i="24"/>
  <c r="O29" i="24"/>
  <c r="T29" i="26"/>
  <c r="N29" i="26"/>
  <c r="E29" i="27"/>
  <c r="Q29" i="27"/>
  <c r="B28" i="27"/>
  <c r="N28" i="27"/>
  <c r="E27" i="25"/>
  <c r="K28" i="26"/>
  <c r="B30" i="26"/>
  <c r="N30" i="26"/>
  <c r="K30" i="26"/>
  <c r="H27" i="26"/>
  <c r="T27" i="26"/>
  <c r="K30" i="27"/>
  <c r="B27" i="27"/>
  <c r="E27" i="27"/>
  <c r="Q27" i="27"/>
  <c r="H27" i="27"/>
  <c r="T27" i="27"/>
  <c r="E28" i="28"/>
  <c r="Q28" i="28"/>
  <c r="H30" i="28"/>
  <c r="T30" i="28"/>
  <c r="B27" i="28"/>
  <c r="N27" i="28"/>
  <c r="E27" i="28"/>
  <c r="Q27" i="28"/>
  <c r="P29" i="23"/>
  <c r="D91" i="23"/>
  <c r="P91" i="23"/>
  <c r="S29" i="24"/>
  <c r="M29" i="24"/>
  <c r="T28" i="27"/>
  <c r="H28" i="27"/>
  <c r="J90" i="23"/>
  <c r="V90" i="23"/>
  <c r="M92" i="23"/>
  <c r="G28" i="24"/>
  <c r="J30" i="24"/>
  <c r="V30" i="24"/>
  <c r="E29" i="28"/>
  <c r="Q29" i="28"/>
  <c r="T90" i="23"/>
  <c r="E28" i="24"/>
  <c r="Q28" i="24"/>
  <c r="B28" i="25"/>
  <c r="N28" i="25"/>
  <c r="U30" i="24"/>
  <c r="K29" i="24"/>
  <c r="B30" i="24"/>
  <c r="N30" i="24"/>
  <c r="B29" i="25"/>
  <c r="N29" i="25"/>
  <c r="E29" i="26"/>
  <c r="Q29" i="26"/>
  <c r="K29" i="26"/>
  <c r="B28" i="26"/>
  <c r="N28" i="26"/>
  <c r="B28" i="24"/>
  <c r="N28" i="24"/>
  <c r="K28" i="25"/>
  <c r="B30" i="25"/>
  <c r="N30" i="25"/>
  <c r="H28" i="26"/>
  <c r="H30" i="27"/>
  <c r="T30" i="27"/>
  <c r="K27" i="27"/>
  <c r="T28" i="26"/>
  <c r="I27" i="24"/>
  <c r="B29" i="24"/>
  <c r="N29" i="24"/>
  <c r="N27" i="24"/>
  <c r="H28" i="25"/>
  <c r="T28" i="25"/>
  <c r="K30" i="25"/>
  <c r="Q27" i="25"/>
  <c r="H30" i="26"/>
  <c r="T30" i="26"/>
  <c r="K27" i="26"/>
  <c r="B27" i="26"/>
  <c r="N27" i="26"/>
  <c r="E27" i="26"/>
  <c r="Q27" i="26"/>
  <c r="I28" i="24"/>
  <c r="E28" i="26"/>
  <c r="Q28" i="26"/>
  <c r="K28" i="24"/>
  <c r="O29" i="23"/>
  <c r="F89" i="23"/>
  <c r="R90" i="23"/>
  <c r="L91" i="23"/>
  <c r="C90" i="23"/>
  <c r="F92" i="23"/>
  <c r="R92" i="23"/>
  <c r="I89" i="23"/>
  <c r="J92" i="23"/>
  <c r="H91" i="23"/>
  <c r="T91" i="23"/>
  <c r="B91" i="23"/>
  <c r="N91" i="23"/>
  <c r="B92" i="23"/>
  <c r="N92" i="23"/>
  <c r="H28" i="24"/>
  <c r="T28" i="24"/>
  <c r="K30" i="24"/>
  <c r="T30" i="24"/>
  <c r="K27" i="24"/>
  <c r="B27" i="24"/>
  <c r="E27" i="24"/>
  <c r="Q27" i="24"/>
  <c r="E28" i="25"/>
  <c r="Q28" i="25"/>
  <c r="H30" i="25"/>
  <c r="T30" i="25"/>
  <c r="E30" i="25"/>
  <c r="Q30" i="25"/>
  <c r="H27" i="25"/>
  <c r="T27" i="25"/>
  <c r="K27" i="25"/>
  <c r="B27" i="25"/>
  <c r="N27" i="25"/>
  <c r="H29" i="24"/>
  <c r="L89" i="23"/>
  <c r="C92" i="23"/>
  <c r="F91" i="23"/>
  <c r="L92" i="23"/>
  <c r="R91" i="23"/>
  <c r="E29" i="25"/>
  <c r="Q29" i="25"/>
  <c r="N90" i="23"/>
  <c r="H30" i="24"/>
  <c r="G90" i="23"/>
  <c r="S90" i="23"/>
  <c r="V92" i="23"/>
  <c r="M89" i="23"/>
  <c r="D89" i="23"/>
  <c r="P89" i="23"/>
  <c r="G89" i="23"/>
  <c r="S89" i="23"/>
  <c r="J89" i="23"/>
  <c r="V89" i="23"/>
  <c r="D28" i="24"/>
  <c r="G30" i="24"/>
  <c r="S30" i="24"/>
  <c r="J27" i="24"/>
  <c r="V27" i="24"/>
  <c r="M27" i="24"/>
  <c r="D27" i="24"/>
  <c r="P27" i="24"/>
  <c r="G27" i="24"/>
  <c r="S27" i="24"/>
  <c r="G29" i="24"/>
  <c r="T29" i="24"/>
  <c r="S28" i="24"/>
  <c r="J91" i="23"/>
  <c r="T92" i="23"/>
  <c r="K91" i="23"/>
  <c r="H89" i="23"/>
  <c r="V91" i="23"/>
  <c r="K28" i="23"/>
  <c r="E29" i="24"/>
  <c r="Q29" i="24"/>
  <c r="E30" i="24"/>
  <c r="Q30" i="24"/>
  <c r="H27" i="24"/>
  <c r="T27" i="24"/>
  <c r="H90" i="23"/>
  <c r="L28" i="23"/>
  <c r="K92" i="23"/>
  <c r="F29" i="23"/>
  <c r="H29" i="23"/>
  <c r="T29" i="23"/>
  <c r="I28" i="23"/>
  <c r="J28" i="23"/>
  <c r="V28" i="23"/>
  <c r="M30" i="23"/>
  <c r="E90" i="23"/>
  <c r="Q90" i="23"/>
  <c r="H92" i="23"/>
  <c r="B90" i="23"/>
  <c r="E92" i="23"/>
  <c r="Q92" i="23"/>
  <c r="T89" i="23"/>
  <c r="B89" i="23"/>
  <c r="N89" i="23"/>
  <c r="E89" i="23"/>
  <c r="Q89" i="23"/>
  <c r="E91" i="23"/>
  <c r="Q91" i="23"/>
  <c r="K90" i="23"/>
  <c r="K89" i="23"/>
  <c r="M28" i="23"/>
  <c r="P30" i="23"/>
  <c r="M29" i="23"/>
  <c r="S30" i="23"/>
  <c r="D28" i="23"/>
  <c r="P28" i="23"/>
  <c r="D29" i="23"/>
  <c r="C29" i="23"/>
  <c r="J30" i="23"/>
  <c r="J27" i="23"/>
  <c r="L30" i="23"/>
  <c r="D30" i="23"/>
  <c r="F28" i="23"/>
  <c r="M27" i="23"/>
  <c r="P27" i="23"/>
  <c r="V27" i="23"/>
  <c r="D27" i="23"/>
  <c r="V29" i="23"/>
  <c r="J29" i="23"/>
  <c r="C27" i="23"/>
  <c r="O27" i="23"/>
  <c r="G27" i="23"/>
  <c r="R28" i="23"/>
  <c r="V30" i="23"/>
  <c r="G30" i="23"/>
  <c r="G28" i="23"/>
  <c r="U27" i="23"/>
  <c r="L27" i="23"/>
  <c r="I30" i="23"/>
  <c r="U28" i="23"/>
  <c r="B29" i="23"/>
  <c r="O28" i="23"/>
  <c r="I29" i="23"/>
  <c r="U29" i="23"/>
  <c r="C30" i="23"/>
  <c r="O30" i="23"/>
  <c r="C28" i="23"/>
  <c r="E28" i="23"/>
  <c r="Q28" i="23"/>
  <c r="Q30" i="23"/>
  <c r="H30" i="23"/>
  <c r="T30" i="23"/>
  <c r="S27" i="23"/>
  <c r="S28" i="23"/>
  <c r="S29" i="23"/>
  <c r="U30" i="23"/>
  <c r="N28" i="23"/>
  <c r="B30" i="23"/>
  <c r="G29" i="23"/>
  <c r="E30" i="23"/>
  <c r="R29" i="23"/>
  <c r="E29" i="23"/>
  <c r="R30" i="23"/>
  <c r="L29" i="23"/>
  <c r="H27" i="23"/>
  <c r="N27" i="23"/>
  <c r="Q29" i="23"/>
  <c r="I27" i="23"/>
  <c r="B28" i="23"/>
  <c r="T27" i="23"/>
  <c r="N29" i="23"/>
  <c r="H28" i="23"/>
  <c r="E27" i="23"/>
  <c r="N30" i="23"/>
  <c r="K27" i="23"/>
  <c r="B27" i="23"/>
  <c r="T28" i="23"/>
  <c r="Q27" i="23"/>
  <c r="F27" i="23"/>
  <c r="F30" i="23"/>
  <c r="R27" i="23"/>
  <c r="K30" i="23"/>
  <c r="K29" i="23"/>
  <c r="G7" i="45" a="1"/>
  <c r="E26" i="5" a="1"/>
  <c r="D26" i="5" a="1"/>
  <c r="D20" i="45" a="1"/>
  <c r="E20" i="45" a="1"/>
  <c r="G8" i="45" a="1"/>
  <c r="E8" i="5" a="1"/>
  <c r="D8" i="5" a="1"/>
  <c r="G5" i="45" a="1"/>
  <c r="G8" i="45" l="1"/>
  <c r="G5" i="45"/>
  <c r="E20" i="45"/>
  <c r="G7" i="45"/>
  <c r="D20" i="45"/>
  <c r="O5" i="45"/>
  <c r="I5" i="45"/>
  <c r="O8" i="45"/>
  <c r="I8" i="45"/>
  <c r="I22" i="45"/>
  <c r="O22" i="45"/>
  <c r="Q8" i="45"/>
  <c r="K8" i="45"/>
  <c r="Q23" i="45"/>
  <c r="K23" i="45"/>
  <c r="N8" i="45"/>
  <c r="H8" i="45"/>
  <c r="Q20" i="45"/>
  <c r="K20" i="45"/>
  <c r="R23" i="45"/>
  <c r="L23" i="45"/>
  <c r="N23" i="45"/>
  <c r="H23" i="45"/>
  <c r="Q6" i="45"/>
  <c r="K6" i="45"/>
  <c r="P6" i="45"/>
  <c r="J6" i="45"/>
  <c r="Q22" i="45"/>
  <c r="K22" i="45"/>
  <c r="I23" i="45"/>
  <c r="O23" i="45"/>
  <c r="O7" i="45"/>
  <c r="I7" i="45"/>
  <c r="N6" i="45"/>
  <c r="H6" i="45"/>
  <c r="N20" i="45"/>
  <c r="H20" i="45"/>
  <c r="R6" i="45"/>
  <c r="L6" i="45"/>
  <c r="O6" i="45"/>
  <c r="I6" i="45"/>
  <c r="N5" i="45"/>
  <c r="H5" i="45"/>
  <c r="Q21" i="45"/>
  <c r="K21" i="45"/>
  <c r="H22" i="45"/>
  <c r="N22" i="45"/>
  <c r="H21" i="45"/>
  <c r="N21" i="45"/>
  <c r="R20" i="45"/>
  <c r="L20" i="45"/>
  <c r="Q7" i="45"/>
  <c r="K7" i="45"/>
  <c r="Q5" i="45"/>
  <c r="K5" i="45"/>
  <c r="P7" i="45"/>
  <c r="J7" i="45"/>
  <c r="R22" i="45"/>
  <c r="L22" i="45"/>
  <c r="I21" i="45"/>
  <c r="O21" i="45"/>
  <c r="P5" i="45"/>
  <c r="J5" i="45"/>
  <c r="N7" i="45"/>
  <c r="H7" i="45"/>
  <c r="P8" i="45"/>
  <c r="J8" i="45"/>
  <c r="R21" i="45"/>
  <c r="L21" i="45"/>
  <c r="E26" i="5"/>
  <c r="D26" i="31" s="1"/>
  <c r="D26" i="5"/>
  <c r="C26" i="31" s="1"/>
  <c r="E8" i="5"/>
  <c r="D8" i="31" s="1"/>
  <c r="D8" i="5"/>
  <c r="C8" i="31" s="1"/>
  <c r="O20" i="45" l="1"/>
  <c r="I20" i="45"/>
  <c r="R7" i="45"/>
  <c r="L7" i="45"/>
  <c r="R5" i="45"/>
  <c r="L5" i="45"/>
  <c r="R8" i="45"/>
  <c r="L8" i="45"/>
  <c r="L27" i="5"/>
  <c r="K27" i="5"/>
  <c r="J27" i="5"/>
  <c r="I27" i="5"/>
  <c r="H27" i="5"/>
  <c r="G27" i="5"/>
  <c r="F27" i="31" s="1"/>
  <c r="F27" i="5"/>
  <c r="E27" i="31" s="1"/>
  <c r="O27" i="31" s="1"/>
  <c r="E27" i="5"/>
  <c r="D27" i="5"/>
  <c r="C27" i="5"/>
  <c r="B27" i="31" s="1"/>
  <c r="N27" i="31" s="1"/>
  <c r="S27" i="31" s="1"/>
  <c r="L9" i="5"/>
  <c r="K9" i="5"/>
  <c r="J9" i="31" s="1"/>
  <c r="J12" i="31" s="1"/>
  <c r="J9" i="5"/>
  <c r="I9" i="5"/>
  <c r="H9" i="5"/>
  <c r="G9" i="31" s="1"/>
  <c r="G9" i="5"/>
  <c r="F9" i="31" s="1"/>
  <c r="F9" i="5"/>
  <c r="D9" i="31"/>
  <c r="D12" i="31" s="1"/>
  <c r="D9" i="5"/>
  <c r="C9" i="31" s="1"/>
  <c r="C9" i="5"/>
  <c r="K9" i="31" l="1"/>
  <c r="R9" i="31" s="1"/>
  <c r="I9" i="31"/>
  <c r="H9" i="31"/>
  <c r="E9" i="31"/>
  <c r="O9" i="31" s="1"/>
  <c r="B9" i="31"/>
  <c r="N9" i="31" s="1"/>
  <c r="S9" i="31" s="1"/>
  <c r="H27" i="31"/>
  <c r="I27" i="31"/>
  <c r="C27" i="31"/>
  <c r="K27" i="31"/>
  <c r="R27" i="31" s="1"/>
  <c r="D27" i="31"/>
  <c r="D30" i="31" s="1"/>
  <c r="J27" i="31"/>
  <c r="J30" i="31" s="1"/>
  <c r="G27" i="31"/>
  <c r="G30" i="31" s="1"/>
  <c r="G12" i="31"/>
  <c r="C12" i="31"/>
  <c r="C26" i="5" a="1"/>
  <c r="F26" i="5" a="1"/>
  <c r="F8" i="5" a="1"/>
  <c r="G26" i="5" a="1"/>
  <c r="C8" i="5" a="1"/>
  <c r="G8" i="5" a="1"/>
  <c r="K12" i="31" l="1"/>
  <c r="R12" i="31" s="1"/>
  <c r="I30" i="31"/>
  <c r="T27" i="31"/>
  <c r="Q27" i="31"/>
  <c r="H30" i="31"/>
  <c r="P30" i="31" s="1"/>
  <c r="P27" i="31"/>
  <c r="H12" i="31"/>
  <c r="P12" i="31" s="1"/>
  <c r="P9" i="31"/>
  <c r="I12" i="31"/>
  <c r="T9" i="31"/>
  <c r="Q9" i="31"/>
  <c r="K30" i="31"/>
  <c r="R30" i="31" s="1"/>
  <c r="C30" i="31"/>
  <c r="G13" i="31"/>
  <c r="C13" i="31"/>
  <c r="G26" i="5"/>
  <c r="F26" i="31" s="1"/>
  <c r="F26" i="5"/>
  <c r="C26" i="5"/>
  <c r="B26" i="31" s="1"/>
  <c r="N26" i="31" s="1"/>
  <c r="S26" i="31" s="1"/>
  <c r="G8" i="5"/>
  <c r="F8" i="31" s="1"/>
  <c r="F8" i="5"/>
  <c r="E8" i="31" s="1"/>
  <c r="C8" i="5"/>
  <c r="K13" i="31" l="1"/>
  <c r="Q30" i="31"/>
  <c r="T30" i="31"/>
  <c r="T12" i="31"/>
  <c r="Q12" i="31"/>
  <c r="E12" i="31"/>
  <c r="O12" i="31" s="1"/>
  <c r="O8" i="31"/>
  <c r="B8" i="31"/>
  <c r="E26" i="31"/>
  <c r="C30" i="5"/>
  <c r="F30" i="31"/>
  <c r="F12" i="31"/>
  <c r="I12" i="5"/>
  <c r="I21" i="5" s="1"/>
  <c r="H12" i="5"/>
  <c r="L12" i="5"/>
  <c r="L21" i="5" s="1"/>
  <c r="G30" i="5"/>
  <c r="L30" i="5"/>
  <c r="K30" i="5"/>
  <c r="H30" i="5"/>
  <c r="F30" i="5"/>
  <c r="G12" i="5"/>
  <c r="F12" i="5"/>
  <c r="F21" i="5" s="1"/>
  <c r="C12" i="5"/>
  <c r="C21" i="5" s="1"/>
  <c r="E30" i="31" l="1"/>
  <c r="O30" i="31" s="1"/>
  <c r="O26" i="31"/>
  <c r="B12" i="31"/>
  <c r="J17" i="31" s="1"/>
  <c r="N8" i="31"/>
  <c r="S8" i="31" s="1"/>
  <c r="D10" i="35"/>
  <c r="C7" i="35"/>
  <c r="C8" i="35"/>
  <c r="D7" i="35"/>
  <c r="D11" i="35"/>
  <c r="C11" i="35"/>
  <c r="B30" i="31"/>
  <c r="F13" i="31"/>
  <c r="C34" i="5"/>
  <c r="D35" i="5" s="1"/>
  <c r="F32" i="5"/>
  <c r="F14" i="5"/>
  <c r="H32" i="5"/>
  <c r="K32" i="5"/>
  <c r="L32" i="5"/>
  <c r="G32" i="5"/>
  <c r="G14" i="5"/>
  <c r="H14" i="5"/>
  <c r="L14" i="5"/>
  <c r="I14" i="5"/>
  <c r="C16" i="5"/>
  <c r="H31" i="5"/>
  <c r="G31" i="5"/>
  <c r="L31" i="5"/>
  <c r="G13" i="5"/>
  <c r="H13" i="5"/>
  <c r="I13" i="5"/>
  <c r="E12" i="5"/>
  <c r="E14" i="5" s="1"/>
  <c r="K12" i="5"/>
  <c r="J12" i="5"/>
  <c r="J21" i="5" s="1"/>
  <c r="D12" i="5"/>
  <c r="I30" i="5"/>
  <c r="D30" i="5"/>
  <c r="E30" i="5"/>
  <c r="E32" i="5" s="1"/>
  <c r="J30" i="5"/>
  <c r="F17" i="31" l="1"/>
  <c r="D17" i="31"/>
  <c r="G17" i="31"/>
  <c r="H17" i="31"/>
  <c r="P15" i="31" s="1"/>
  <c r="I17" i="31"/>
  <c r="Q15" i="31" s="1"/>
  <c r="C17" i="31"/>
  <c r="E17" i="31"/>
  <c r="O15" i="31" s="1"/>
  <c r="B15" i="31"/>
  <c r="N13" i="31" s="1"/>
  <c r="S13" i="31" s="1"/>
  <c r="K17" i="31"/>
  <c r="R15" i="31" s="1"/>
  <c r="B32" i="31"/>
  <c r="C34" i="31" s="1"/>
  <c r="D34" i="31" s="1"/>
  <c r="E34" i="31" s="1"/>
  <c r="F34" i="31" s="1"/>
  <c r="G34" i="31" s="1"/>
  <c r="H34" i="31" s="1"/>
  <c r="I34" i="31" s="1"/>
  <c r="N30" i="31"/>
  <c r="S30" i="31" s="1"/>
  <c r="B14" i="31"/>
  <c r="C16" i="31" s="1"/>
  <c r="N12" i="31"/>
  <c r="S12" i="31" s="1"/>
  <c r="C16" i="35"/>
  <c r="D24" i="35"/>
  <c r="E22" i="35"/>
  <c r="C13" i="35"/>
  <c r="D15" i="35"/>
  <c r="F25" i="35"/>
  <c r="D16" i="35"/>
  <c r="C22" i="35"/>
  <c r="F24" i="35"/>
  <c r="D25" i="35"/>
  <c r="D8" i="35"/>
  <c r="D13" i="35" s="1"/>
  <c r="E25" i="35"/>
  <c r="C25" i="35"/>
  <c r="J32" i="5"/>
  <c r="D9" i="35"/>
  <c r="F23" i="35" s="1"/>
  <c r="J14" i="5"/>
  <c r="C9" i="35"/>
  <c r="E23" i="35" s="1"/>
  <c r="K14" i="5"/>
  <c r="C10" i="35"/>
  <c r="E24" i="35" s="1"/>
  <c r="D17" i="5"/>
  <c r="I35" i="31"/>
  <c r="H35" i="31"/>
  <c r="P33" i="31" s="1"/>
  <c r="D35" i="31"/>
  <c r="J35" i="31"/>
  <c r="G35" i="31"/>
  <c r="F35" i="31"/>
  <c r="K35" i="31"/>
  <c r="R33" i="31" s="1"/>
  <c r="E35" i="31"/>
  <c r="O33" i="31" s="1"/>
  <c r="C35" i="31"/>
  <c r="B33" i="31"/>
  <c r="N31" i="31" s="1"/>
  <c r="S31" i="31" s="1"/>
  <c r="D32" i="5"/>
  <c r="D31" i="5"/>
  <c r="D36" i="5" s="1"/>
  <c r="D14" i="5"/>
  <c r="D13" i="5"/>
  <c r="D18" i="5" s="1"/>
  <c r="I31" i="5"/>
  <c r="I32" i="5"/>
  <c r="J13" i="5"/>
  <c r="E13" i="5"/>
  <c r="E35" i="5"/>
  <c r="E31" i="5"/>
  <c r="J31" i="5"/>
  <c r="K31" i="5"/>
  <c r="F31" i="5"/>
  <c r="K13" i="5"/>
  <c r="L13" i="5"/>
  <c r="F13" i="5"/>
  <c r="T15" i="31" l="1"/>
  <c r="C18" i="31"/>
  <c r="K34" i="31"/>
  <c r="J34" i="31"/>
  <c r="C15" i="31"/>
  <c r="D15" i="31" s="1"/>
  <c r="E15" i="31" s="1"/>
  <c r="T33" i="31"/>
  <c r="Q33" i="31"/>
  <c r="D22" i="35"/>
  <c r="F22" i="35"/>
  <c r="C14" i="35"/>
  <c r="C23" i="35"/>
  <c r="C15" i="35"/>
  <c r="C24" i="35"/>
  <c r="D14" i="35"/>
  <c r="D23" i="35"/>
  <c r="D36" i="31"/>
  <c r="G36" i="31"/>
  <c r="F36" i="31"/>
  <c r="C33" i="31"/>
  <c r="D33" i="31" s="1"/>
  <c r="E33" i="31" s="1"/>
  <c r="C36" i="31"/>
  <c r="D16" i="31"/>
  <c r="E17" i="5"/>
  <c r="E36" i="5"/>
  <c r="F36" i="5" s="1"/>
  <c r="G36" i="5" s="1"/>
  <c r="H36" i="5" s="1"/>
  <c r="I36" i="5" s="1"/>
  <c r="J36" i="5" s="1"/>
  <c r="K36" i="5" s="1"/>
  <c r="L36" i="5" s="1"/>
  <c r="E18" i="5"/>
  <c r="F35" i="5"/>
  <c r="J36" i="31" l="1"/>
  <c r="E36" i="31"/>
  <c r="O32" i="31"/>
  <c r="O34" i="31" s="1"/>
  <c r="I36" i="31"/>
  <c r="Q32" i="31"/>
  <c r="Q34" i="31" s="1"/>
  <c r="T32" i="31"/>
  <c r="T34" i="31" s="1"/>
  <c r="F33" i="31"/>
  <c r="G33" i="31" s="1"/>
  <c r="H33" i="31" s="1"/>
  <c r="O31" i="31"/>
  <c r="H36" i="31"/>
  <c r="P32" i="31"/>
  <c r="P34" i="31" s="1"/>
  <c r="K36" i="31"/>
  <c r="R32" i="31"/>
  <c r="R34" i="31" s="1"/>
  <c r="F15" i="31"/>
  <c r="G15" i="31" s="1"/>
  <c r="H15" i="31" s="1"/>
  <c r="O13" i="31"/>
  <c r="F17" i="5"/>
  <c r="E16" i="31"/>
  <c r="O14" i="31" s="1"/>
  <c r="O16" i="31" s="1"/>
  <c r="D18" i="31"/>
  <c r="D37" i="5"/>
  <c r="D38" i="5" s="1"/>
  <c r="D19" i="5"/>
  <c r="D20" i="5" s="1"/>
  <c r="E37" i="5"/>
  <c r="E38" i="5" s="1"/>
  <c r="G35" i="5"/>
  <c r="F37" i="5"/>
  <c r="F38" i="5" s="1"/>
  <c r="F18" i="5"/>
  <c r="E19" i="5"/>
  <c r="E20" i="5" s="1"/>
  <c r="I33" i="31" l="1"/>
  <c r="P31" i="31"/>
  <c r="I15" i="31"/>
  <c r="P13" i="31"/>
  <c r="Z25" i="5"/>
  <c r="G17" i="5"/>
  <c r="D40" i="5"/>
  <c r="E40" i="5"/>
  <c r="F16" i="31"/>
  <c r="E18" i="31"/>
  <c r="H35" i="5"/>
  <c r="G37" i="5"/>
  <c r="G38" i="5" s="1"/>
  <c r="G18" i="5"/>
  <c r="F19" i="5"/>
  <c r="F20" i="5" s="1"/>
  <c r="F40" i="5" s="1"/>
  <c r="T13" i="31" l="1"/>
  <c r="K15" i="31"/>
  <c r="R13" i="31" s="1"/>
  <c r="J15" i="31"/>
  <c r="K33" i="31"/>
  <c r="R31" i="31" s="1"/>
  <c r="J33" i="31"/>
  <c r="T31" i="31"/>
  <c r="Q31" i="31"/>
  <c r="Q13" i="31"/>
  <c r="AA26" i="5"/>
  <c r="Z27" i="5"/>
  <c r="Z26" i="5"/>
  <c r="H17" i="5"/>
  <c r="G16" i="31"/>
  <c r="H16" i="31" s="1"/>
  <c r="P14" i="31" s="1"/>
  <c r="P16" i="31" s="1"/>
  <c r="F18" i="31"/>
  <c r="I35" i="5"/>
  <c r="H37" i="5"/>
  <c r="H38" i="5" s="1"/>
  <c r="H18" i="5"/>
  <c r="G19" i="5"/>
  <c r="G20" i="5" s="1"/>
  <c r="G40" i="5" s="1"/>
  <c r="I17" i="5" l="1"/>
  <c r="I16" i="31"/>
  <c r="H18" i="31"/>
  <c r="G18" i="31"/>
  <c r="J35" i="5"/>
  <c r="I37" i="5"/>
  <c r="I38" i="5" s="1"/>
  <c r="I18" i="5"/>
  <c r="H19" i="5"/>
  <c r="H20" i="5" s="1"/>
  <c r="H40" i="5" s="1"/>
  <c r="K16" i="31" l="1"/>
  <c r="J16" i="31"/>
  <c r="Q14" i="31"/>
  <c r="Q16" i="31" s="1"/>
  <c r="T14" i="31"/>
  <c r="T16" i="31" s="1"/>
  <c r="J17" i="5"/>
  <c r="I18" i="31"/>
  <c r="K35" i="5"/>
  <c r="J37" i="5"/>
  <c r="J38" i="5" s="1"/>
  <c r="J18" i="5"/>
  <c r="I19" i="5"/>
  <c r="I20" i="5" s="1"/>
  <c r="I40" i="5" l="1"/>
  <c r="K17" i="5"/>
  <c r="R14" i="31"/>
  <c r="J18" i="31"/>
  <c r="L35" i="5"/>
  <c r="L37" i="5" s="1"/>
  <c r="L38" i="5" s="1"/>
  <c r="K37" i="5"/>
  <c r="K38" i="5" s="1"/>
  <c r="K18" i="5"/>
  <c r="J19" i="5"/>
  <c r="J20" i="5" s="1"/>
  <c r="J40" i="5" s="1"/>
  <c r="P19" i="45" l="1"/>
  <c r="L17" i="5"/>
  <c r="K18" i="31"/>
  <c r="L18" i="5"/>
  <c r="K19" i="5"/>
  <c r="K20" i="5" s="1"/>
  <c r="K40" i="5" s="1"/>
  <c r="J27" i="45" l="1"/>
  <c r="J18" i="45"/>
  <c r="J25" i="45"/>
  <c r="J26" i="45"/>
  <c r="J28" i="45"/>
  <c r="J24" i="45"/>
  <c r="P28" i="45"/>
  <c r="P22" i="45"/>
  <c r="J22" i="45"/>
  <c r="P21" i="45"/>
  <c r="J21" i="45"/>
  <c r="P23" i="45"/>
  <c r="J23" i="45"/>
  <c r="J19" i="45"/>
  <c r="P20" i="45"/>
  <c r="J20" i="45"/>
  <c r="L20" i="5"/>
  <c r="L40" i="5" s="1"/>
  <c r="R16" i="31"/>
  <c r="AR1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F84" authorId="0" shapeId="0" xr:uid="{46B7FA59-06F1-4150-9D9A-D17B0D8A45C1}">
      <text>
        <r>
          <rPr>
            <b/>
            <sz val="9"/>
            <color indexed="81"/>
            <rFont val="Tahoma"/>
            <family val="2"/>
          </rPr>
          <t>Tom Carlson:</t>
        </r>
        <r>
          <rPr>
            <sz val="9"/>
            <color indexed="81"/>
            <rFont val="Tahoma"/>
            <family val="2"/>
          </rPr>
          <t xml:space="preserve">
Phase in from 9/1/2022 regulation date to 1/1/2023 based on fill data from 2023 Home Heating Survey.</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A11509B4-9379-4EB9-8685-E7743A80358A}">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7A8FD2DA-832F-401D-A26D-4C4C14B1BA4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14B5C354-6CBB-4D38-A09E-1DA50D3147E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ADC9273-051C-450A-90BB-E23B0E4D1671}">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10B7F3E-C921-4F01-95DA-4A23F2982E6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3A1A5887-AE4D-4BDD-BAD8-F7CE3C4940E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46AED69F-F813-438F-BBAE-755E433E6FA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A1588358-2964-405C-9A89-BC89764F0AE5}">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D184A75-230A-4736-97D0-2E68EF2CCD7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159963D-D1D1-4B4D-9B3A-8A10A754A20B}">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<sst xmlns="http://schemas.openxmlformats.org/spreadsheetml/2006/main" count="3277" uniqueCount="329">
  <si>
    <t>Modeling Domain Episodic Emissions (tons/day)</t>
  </si>
  <si>
    <t>Source Sector</t>
  </si>
  <si>
    <t>PM2.5</t>
  </si>
  <si>
    <t>NOx</t>
  </si>
  <si>
    <t>SO2</t>
  </si>
  <si>
    <t>VOC</t>
  </si>
  <si>
    <t>NH3</t>
  </si>
  <si>
    <t>Point</t>
  </si>
  <si>
    <t>Area, Other</t>
  </si>
  <si>
    <t>Non-Road Mobile</t>
  </si>
  <si>
    <t>TOTALS</t>
  </si>
  <si>
    <t>Source</t>
  </si>
  <si>
    <t>PM25-PRI</t>
  </si>
  <si>
    <t>PM10-PRI</t>
  </si>
  <si>
    <t>CO</t>
  </si>
  <si>
    <t>PM2.5 Emissions (tons/episode-day)</t>
  </si>
  <si>
    <t>Area-Space Heating</t>
  </si>
  <si>
    <t>Area-Other</t>
  </si>
  <si>
    <t>Mobile-NonRoad</t>
  </si>
  <si>
    <t>Mobile-OnRoad</t>
  </si>
  <si>
    <t>Measure</t>
  </si>
  <si>
    <t>Implementation</t>
  </si>
  <si>
    <t>Phase-In Schedule by Calendar Year</t>
  </si>
  <si>
    <t>Abbrev</t>
  </si>
  <si>
    <t>Measure Description</t>
  </si>
  <si>
    <t>Start Year</t>
  </si>
  <si>
    <t>Parameter</t>
  </si>
  <si>
    <t>WSCO</t>
  </si>
  <si>
    <t>WSCO Program</t>
  </si>
  <si>
    <t>2010, On-going</t>
  </si>
  <si>
    <t>STF-12</t>
  </si>
  <si>
    <t>Shift #2 to #1 Oil</t>
  </si>
  <si>
    <t>Combined Penetration/Compliance Rate</t>
  </si>
  <si>
    <t>STF-13</t>
  </si>
  <si>
    <t>Commercial Dry Wood</t>
  </si>
  <si>
    <t>STF-17</t>
  </si>
  <si>
    <t>Wood Device Removal</t>
  </si>
  <si>
    <t>Wood Emission Rates</t>
  </si>
  <si>
    <t>BACM-48</t>
  </si>
  <si>
    <t>Remove Coal Devices</t>
  </si>
  <si>
    <t>STF-22</t>
  </si>
  <si>
    <t>No Primary Wood Heat</t>
  </si>
  <si>
    <t>STF-23</t>
  </si>
  <si>
    <t>NOASH/Exmptn Rqmts</t>
  </si>
  <si>
    <t>CURT</t>
  </si>
  <si>
    <t>Curtailment Program</t>
  </si>
  <si>
    <t>2016, On-going</t>
  </si>
  <si>
    <t>Compliance Rate</t>
  </si>
  <si>
    <t>Notes:</t>
  </si>
  <si>
    <t>1)</t>
  </si>
  <si>
    <t>Start Year refers to when the measure is implemented by January 1 of the indicated year</t>
  </si>
  <si>
    <t>2)</t>
  </si>
  <si>
    <t>Phase-In percentages reflect compliance/penetration rates estimated as of January 1 of the indicated year</t>
  </si>
  <si>
    <t>3)</t>
  </si>
  <si>
    <t>Years shown in blue are RFP/QM years</t>
  </si>
  <si>
    <t>SPACE HEATING NONATTAINMENT AREA EMISSIONS BY CALENDAR YEAR AND CONTROL MEASURE</t>
  </si>
  <si>
    <t>BASE</t>
  </si>
  <si>
    <t>Baseline</t>
  </si>
  <si>
    <t>TOTALS (OVERLAP-ADJUSTED)</t>
  </si>
  <si>
    <t>SO2 Emissions (tons/episode-day)</t>
  </si>
  <si>
    <t>No. of Changeouts (includes pre-2013)</t>
  </si>
  <si>
    <t>BACM-R8</t>
  </si>
  <si>
    <t>PollIndex:</t>
  </si>
  <si>
    <t>Calendar</t>
  </si>
  <si>
    <t>Inventory</t>
  </si>
  <si>
    <t>Onroad Emissions (tons/avg episode day)</t>
  </si>
  <si>
    <t>Travel Activity</t>
  </si>
  <si>
    <t>Year</t>
  </si>
  <si>
    <t>Type</t>
  </si>
  <si>
    <t>VMT/day</t>
  </si>
  <si>
    <t>Popn</t>
  </si>
  <si>
    <t>RFP/MVEB</t>
  </si>
  <si>
    <t>Breakdown by Emission Process</t>
  </si>
  <si>
    <t>Emission</t>
  </si>
  <si>
    <t>Process</t>
  </si>
  <si>
    <t>Running</t>
  </si>
  <si>
    <t>Start/Ext Idle</t>
  </si>
  <si>
    <t>Total</t>
  </si>
  <si>
    <t>NA Emp. Fraction:</t>
  </si>
  <si>
    <t>Nonattainment Area Episodic Emissions (tons/day)</t>
  </si>
  <si>
    <t>FNSB Episodic Emissions (tons/day)</t>
  </si>
  <si>
    <t>&lt;-- Winter TPD from OtherArea</t>
  </si>
  <si>
    <t>&lt;-- Winter TPD from AdjNREmis, NA Area scaled from FNSB total</t>
  </si>
  <si>
    <t>Rail (line-haul &amp; yard)</t>
  </si>
  <si>
    <t>&lt;-- Annual TPY from GridRailEmis, converted to Winter TPD</t>
  </si>
  <si>
    <t>Aircraft/Airfield (incl. GSE)</t>
  </si>
  <si>
    <t>&lt;-- These are annual average TPD</t>
  </si>
  <si>
    <t>Non-Road Total</t>
  </si>
  <si>
    <t>Summary of Other Area Source and Non-Road Mobile Source Emissions - Calendar Year 2020</t>
  </si>
  <si>
    <t>Summary of Other Area Source and Non-Road Mobile Source Emissions - Calendar Year 2023</t>
  </si>
  <si>
    <t>Summary of Other Area Source and Non-Road Mobile Source Emissions - Calendar Year 2024</t>
  </si>
  <si>
    <t>Summary of Other Area Source and Non-Road Mobile Source Emissions - Calendar Year 2026</t>
  </si>
  <si>
    <t>Summary of Other Area Source and Non-Road Mobile Source Emissions - Calendar Year 2029</t>
  </si>
  <si>
    <t>Reduction from Prior Year:</t>
  </si>
  <si>
    <t xml:space="preserve">5% Reduction Target, SO2: </t>
  </si>
  <si>
    <t xml:space="preserve">5% Reduction Target, PM2.5: </t>
  </si>
  <si>
    <t xml:space="preserve">Reduction Achieved, SO2: </t>
  </si>
  <si>
    <t xml:space="preserve">Reductions Required, PM2.5: </t>
  </si>
  <si>
    <t xml:space="preserve">Reductions Achieved, PM2.5: </t>
  </si>
  <si>
    <t xml:space="preserve">Balance (surplus/deficit), PM2.5: </t>
  </si>
  <si>
    <t xml:space="preserve">Reductions Required, SO2: </t>
  </si>
  <si>
    <t xml:space="preserve">Balance (surplus/deficit), SO2: </t>
  </si>
  <si>
    <t>Summary of Other Area Source and Non-Road Mobile Source Emissions - Calendar Year 2022</t>
  </si>
  <si>
    <t>Summary of Other Area Source and Non-Road Mobile Source Emissions - Calendar Year 2021</t>
  </si>
  <si>
    <t xml:space="preserve">          </t>
  </si>
  <si>
    <t>Outside Nonattainment Area</t>
  </si>
  <si>
    <t>Inside Nonattainment Area</t>
  </si>
  <si>
    <t>Entire G3 Domain</t>
  </si>
  <si>
    <t>Fuel</t>
  </si>
  <si>
    <t>SCC</t>
  </si>
  <si>
    <t>NOX</t>
  </si>
  <si>
    <t>Category</t>
  </si>
  <si>
    <t>Total Spc Ht</t>
  </si>
  <si>
    <t>Other</t>
  </si>
  <si>
    <t>Coal</t>
  </si>
  <si>
    <t>Oil</t>
  </si>
  <si>
    <t>Wood</t>
  </si>
  <si>
    <t>WasteOil</t>
  </si>
  <si>
    <t>Coal-Com</t>
  </si>
  <si>
    <t>COil-Com</t>
  </si>
  <si>
    <t>NtGas-Com</t>
  </si>
  <si>
    <t>Wood-Com</t>
  </si>
  <si>
    <t>CoalHt</t>
  </si>
  <si>
    <t>COil-Res</t>
  </si>
  <si>
    <t>NtGas-Res</t>
  </si>
  <si>
    <t>FP</t>
  </si>
  <si>
    <t>Ins-Conv</t>
  </si>
  <si>
    <t>Ins-NonCat</t>
  </si>
  <si>
    <t>Ins-Cat</t>
  </si>
  <si>
    <t>WS-Conv</t>
  </si>
  <si>
    <t>WS-NonCat</t>
  </si>
  <si>
    <t>WS-Cat</t>
  </si>
  <si>
    <t>PS-Exempt</t>
  </si>
  <si>
    <t>PS-EPACert</t>
  </si>
  <si>
    <t>OWBWtd</t>
  </si>
  <si>
    <t>TABLES FOR PLOTTING</t>
  </si>
  <si>
    <t>RFP Progress for PM2.5</t>
  </si>
  <si>
    <t>Base</t>
  </si>
  <si>
    <t>RFP</t>
  </si>
  <si>
    <t>Linear Trajectory</t>
  </si>
  <si>
    <t>Target Reduction</t>
  </si>
  <si>
    <t>Achieved Reduction</t>
  </si>
  <si>
    <t>Linear Progress Met?</t>
  </si>
  <si>
    <t>RFP Progress for SO2</t>
  </si>
  <si>
    <t>RFP Progress for NH3</t>
  </si>
  <si>
    <t>NH3 Emissions (tons/episode-day)</t>
  </si>
  <si>
    <t xml:space="preserve">RFP Reduction Target, PM2.5: </t>
  </si>
  <si>
    <t xml:space="preserve">RFP Reduction Target, SO2: </t>
  </si>
  <si>
    <t xml:space="preserve">Reductions Achieved, SO2: </t>
  </si>
  <si>
    <t xml:space="preserve">RFP Reduction Target, NH3: </t>
  </si>
  <si>
    <t xml:space="preserve">Reductions Required, NH3: </t>
  </si>
  <si>
    <t xml:space="preserve">Reductions Achieved, NH3: </t>
  </si>
  <si>
    <t xml:space="preserve">Balance (surplus/deficit), NH3: </t>
  </si>
  <si>
    <t xml:space="preserve">Linear Trajectory, PM2.5: </t>
  </si>
  <si>
    <t xml:space="preserve">Linear Trajectory, SO2: </t>
  </si>
  <si>
    <t xml:space="preserve">Linear Trajectory, NH3: </t>
  </si>
  <si>
    <t>SO2 Emissions - Nonattanment Area (tons/episode day)</t>
  </si>
  <si>
    <t>NH3 Emissions - Nonattanment Area (tons/episode day)</t>
  </si>
  <si>
    <t>Direct PM2.5 Emissions - Nonattainment Area (tons/episode day)</t>
  </si>
  <si>
    <t>Attain</t>
  </si>
  <si>
    <t>On-Road PM2.5 Shares by Year:</t>
  </si>
  <si>
    <t>FAIRBANKS REVISED 5% SIP 2019-2020 EPISODIC POINT SOURCE EMISSIONS (TONS/DAY) BY CALENDAR YEAR</t>
  </si>
  <si>
    <t>Growth</t>
  </si>
  <si>
    <t>TOTALS ACROSS ALL POINT SOURCE FACILITIES (TONS/DAY)</t>
  </si>
  <si>
    <t>Back-Calculated Growth Factors (Relative to 2020)</t>
  </si>
  <si>
    <t>Factor</t>
  </si>
  <si>
    <t>Check</t>
  </si>
  <si>
    <t>CONTROL MEASURE IMPLEMENTATION/PHASE-IN SCHEDULE FOR REVISED 5% SIP -- SPACE HEATING EI UPDATED WITH 2019-2020 EPISODE &amp; 2023 HOME HEATING SURVEY</t>
  </si>
  <si>
    <t>n/a</t>
  </si>
  <si>
    <t>&lt;-- Converting Annual TPD to Winter TPD</t>
  </si>
  <si>
    <t>Summary of Other Area Source and Non-Road Mobile Source Emissions - Calendar Year 2025</t>
  </si>
  <si>
    <t>Summary of Other Area Source and Non-Road Mobile Source Emissions - Calendar Year 2027</t>
  </si>
  <si>
    <t>Summary of Other Area Source and Non-Road Mobile Source Emissions - Calendar Year 2028</t>
  </si>
  <si>
    <t>Mobile-Aircraft</t>
  </si>
  <si>
    <t>Mobile-NonRoad (less aircraft)</t>
  </si>
  <si>
    <t>EVALUATION OF ONE YEAR'S WORTH (OYW) OF PROGRESS UNDER</t>
  </si>
  <si>
    <t>PROPOSED MARCH 2023 EPA CONTINGENCY MEASURE GUIDANCE</t>
  </si>
  <si>
    <t>NA Area Emissions (tpd)</t>
  </si>
  <si>
    <r>
      <t>PM</t>
    </r>
    <r>
      <rPr>
        <vertAlign val="subscript"/>
        <sz val="11"/>
        <color theme="1"/>
        <rFont val="Calibri"/>
        <family val="2"/>
        <scheme val="minor"/>
      </rPr>
      <t>2.5</t>
    </r>
  </si>
  <si>
    <r>
      <t>SO</t>
    </r>
    <r>
      <rPr>
        <vertAlign val="subscript"/>
        <sz val="11"/>
        <color theme="1"/>
        <rFont val="Calibri"/>
        <family val="2"/>
        <scheme val="minor"/>
      </rPr>
      <t>2</t>
    </r>
  </si>
  <si>
    <t>Base Year Emissions</t>
  </si>
  <si>
    <t>Attainment Year Emissions</t>
  </si>
  <si>
    <t>Total Attainment Required Reduction</t>
  </si>
  <si>
    <t>(Based on Fairbanks Revised 5% SIP Base Year and Attainment Inventories)</t>
  </si>
  <si>
    <t>REVISED 5% SIP NONATTAINMENT AREA EMISSION INVENTORY SUMMARIES &amp; 5% REDUCTION ANALYSIS</t>
  </si>
  <si>
    <t>REVISED 5% SIP NONATTAINMENT AREA EMISSION INVENTORY SUMMARIES &amp; RFP/QM ANALYSIS</t>
  </si>
  <si>
    <t xml:space="preserve">                                                                                                      Space Heating SMOKE File Tabulation                                                                 21:06 Thursday, September 21, 2023   1</t>
  </si>
  <si>
    <t xml:space="preserve">                                                                                     2020 NEW EPISODE RAW BASELINE (BSRS, X-PRICE ELASTICITY 0.318), BY SCC</t>
  </si>
  <si>
    <t xml:space="preserve">                                                                                                      Space Heating SMOKE File Tabulation                                                                 21:06 Thursday, September 21, 2023   2</t>
  </si>
  <si>
    <t xml:space="preserve">                                                                                 2020 NEW EPISODE BACKCASTED BASELINE (BSRS, X-PRICE ELASTICITY 0.318), BY SCC</t>
  </si>
  <si>
    <t xml:space="preserve">                                                                                                      Space Heating SMOKE File Tabulation                                                                   11:12 Sunday, September 24, 2023   1</t>
  </si>
  <si>
    <t xml:space="preserve">                                                                                     2021 NEW EPISODE RAW BASELINE (BSRS, X-PRICE ELASTICITY 0.318), BY SCC</t>
  </si>
  <si>
    <t xml:space="preserve">                                                                                                      Space Heating SMOKE File Tabulation                                                                   11:12 Sunday, September 24, 2023   2</t>
  </si>
  <si>
    <t xml:space="preserve">                                                                                 2021 NEW EPISODE BACKCASTED BASELINE (BSRS, X-PRICE ELASTICITY 0.318), BY SCC</t>
  </si>
  <si>
    <t xml:space="preserve">                                                                                                      Space Heating SMOKE File Tabulation                                                                   11:13 Sunday, September 24, 2023   1</t>
  </si>
  <si>
    <t xml:space="preserve">                                                                                     2022 NEW EPISODE RAW BASELINE (BSRS, X-PRICE ELASTICITY 0.318), BY SCC</t>
  </si>
  <si>
    <t xml:space="preserve">                                                                                                      Space Heating SMOKE File Tabulation                                                                   11:13 Sunday, September 24, 2023   2</t>
  </si>
  <si>
    <t xml:space="preserve">                                                                                 2022 NEW EPISODE BACKCASTED BASELINE (BSRS, X-PRICE ELASTICITY 0.318), BY SCC</t>
  </si>
  <si>
    <t xml:space="preserve">                                                                                                      Space Heating SMOKE File Tabulation                                                                   11:14 Sunday, September 24, 2023   1</t>
  </si>
  <si>
    <t xml:space="preserve">                                                                                     2023 NEW EPISODE RAW BASELINE (BSRS, X-PRICE ELASTICITY 0.318), BY SCC</t>
  </si>
  <si>
    <t xml:space="preserve">                                                                                                      Space Heating SMOKE File Tabulation                                                                   11:14 Sunday, September 24, 2023   2</t>
  </si>
  <si>
    <t xml:space="preserve">                                                                         2023 NEW EPISODE PRELIMINARY CONTROL LESS CURTAILMENT (BSRS, X-PRICE ELASTICITY 0.318), BY SCC</t>
  </si>
  <si>
    <t xml:space="preserve">                                                                                                      Space Heating SMOKE File Tabulation                                                                   11:14 Sunday, September 24, 2023   3</t>
  </si>
  <si>
    <t xml:space="preserve">                                                                         2023 NEW EPISODE PRELIMINARY CONTROL WITH CURTAILMENT (BSRS, X-PRICE ELASTICITY 0.318), BY SCC</t>
  </si>
  <si>
    <t xml:space="preserve">                                                                                     2024 NEW EPISODE RAW BASELINE (BSRS, X-PRICE ELASTICITY 0.318), BY SCC</t>
  </si>
  <si>
    <t xml:space="preserve">                                                                         2024 NEW EPISODE PRELIMINARY CONTROL LESS CURTAILMENT (BSRS, X-PRICE ELASTICITY 0.318), BY SCC</t>
  </si>
  <si>
    <t xml:space="preserve">                                                                         2024 NEW EPISODE PRELIMINARY CONTROL WITH CURTAILMENT (BSRS, X-PRICE ELASTICITY 0.318), BY SCC</t>
  </si>
  <si>
    <t xml:space="preserve">                                                                                     2025 NEW EPISODE RAW BASELINE (BSRS, X-PRICE ELASTICITY 0.318), BY SCC</t>
  </si>
  <si>
    <t xml:space="preserve">                                                                         2025 NEW EPISODE PRELIMINARY CONTROL LESS CURTAILMENT (BSRS, X-PRICE ELASTICITY 0.318), BY SCC</t>
  </si>
  <si>
    <t xml:space="preserve">                                                                         2025 NEW EPISODE PRELIMINARY CONTROL WITH CURTAILMENT (BSRS, X-PRICE ELASTICITY 0.318), BY SCC</t>
  </si>
  <si>
    <t xml:space="preserve">                                                                                     2026 NEW EPISODE RAW BASELINE (BSRS, X-PRICE ELASTICITY 0.318), BY SCC</t>
  </si>
  <si>
    <t xml:space="preserve">                                                                         2026 NEW EPISODE PRELIMINARY CONTROL LESS CURTAILMENT (BSRS, X-PRICE ELASTICITY 0.318), BY SCC</t>
  </si>
  <si>
    <t xml:space="preserve">                                                                         2026 NEW EPISODE PRELIMINARY CONTROL WITH CURTAILMENT (BSRS, X-PRICE ELASTICITY 0.318), BY SCC</t>
  </si>
  <si>
    <t xml:space="preserve">                                                                                     2027 NEW EPISODE RAW BASELINE (BSRS, X-PRICE ELASTICITY 0.318), BY SCC</t>
  </si>
  <si>
    <t xml:space="preserve">                                                                         2027 NEW EPISODE PRELIMINARY CONTROL LESS CURTAILMENT (BSRS, X-PRICE ELASTICITY 0.318), BY SCC</t>
  </si>
  <si>
    <t xml:space="preserve">                                                                         2027 NEW EPISODE PRELIMINARY CONTROL WITH CURTAILMENT (BSRS, X-PRICE ELASTICITY 0.318), BY SCC</t>
  </si>
  <si>
    <t xml:space="preserve">                                                                                     2028 NEW EPISODE RAW BASELINE (BSRS, X-PRICE ELASTICITY 0.318), BY SCC</t>
  </si>
  <si>
    <t xml:space="preserve">                                                                         2028 NEW EPISODE PRELIMINARY CONTROL LESS CURTAILMENT (BSRS, X-PRICE ELASTICITY 0.318), BY SCC</t>
  </si>
  <si>
    <t xml:space="preserve">                                                                         2028 NEW EPISODE PRELIMINARY CONTROL WITH CURTAILMENT (BSRS, X-PRICE ELASTICITY 0.318), BY SCC</t>
  </si>
  <si>
    <t xml:space="preserve">                                                                                     2029 NEW EPISODE RAW BASELINE (BSRS, X-PRICE ELASTICITY 0.318), BY SCC</t>
  </si>
  <si>
    <t xml:space="preserve">                                                                         2029 NEW EPISODE PRELIMINARY CONTROL LESS CURTAILMENT (BSRS, X-PRICE ELASTICITY 0.318), BY SCC</t>
  </si>
  <si>
    <t xml:space="preserve">                                                                         2029 NEW EPISODE PRELIMINARY CONTROL WITH CURTAILMENT (BSRS, X-PRICE ELASTICITY 0.318), BY SCC</t>
  </si>
  <si>
    <t>REVISED 5% SIP GRID 3 DOMAIN EMISSION INVENTORY SUMMARIES</t>
  </si>
  <si>
    <t>Relative Reduction to 2020 (%):</t>
  </si>
  <si>
    <t>Grid 3 Domain PM2.5 Emissions (tons/episode-day)</t>
  </si>
  <si>
    <t>Grid 3 Domain SO2 Emissions (tons/episode-day)</t>
  </si>
  <si>
    <t>Grid 3 Domain NOx Emissions (tons/episode-day)</t>
  </si>
  <si>
    <t>Grid 3 Domain VOC Emissions (tons/episode-day)</t>
  </si>
  <si>
    <t>Grid 3 Domain NH3 Emissions (tons/episode-day)</t>
  </si>
  <si>
    <t xml:space="preserve">PM2.5 Target Met? </t>
  </si>
  <si>
    <t xml:space="preserve">SO2 Target Met? </t>
  </si>
  <si>
    <t xml:space="preserve">Overall Target Met? </t>
  </si>
  <si>
    <t>On-Road Emissions and Activity in Nonattainment Area - Revised 5% SIP Activity</t>
  </si>
  <si>
    <t>(MOVES3.0.3 Inventory Mode Runs for January Episode Month)</t>
  </si>
  <si>
    <t>On-Road Emissions in Nonattainment Area - Revised 5% SIP Activity</t>
  </si>
  <si>
    <t>On-Road Emissions and Activity in G3 Modeling Domain - Revised 5% SIP Activity</t>
  </si>
  <si>
    <t>(WITHOUT SO2 BACT CONTROLS)</t>
  </si>
  <si>
    <t>2020 Base Year Grid 3 Domain Emissions Distribution by Source Sector</t>
  </si>
  <si>
    <t>Residential Wood Combustion</t>
  </si>
  <si>
    <t>Residential Heating Oil</t>
  </si>
  <si>
    <t>Residential Other (Coal, Gas)</t>
  </si>
  <si>
    <t>Commercial Oil (incl. waste oil)</t>
  </si>
  <si>
    <t>Commercial Other (Coal, Gas)</t>
  </si>
  <si>
    <t>Commercial Wood Combustion</t>
  </si>
  <si>
    <t>2020 Base Year Grid 3 Domain Space Heat Emissions Distribution by Use and Fuel Type</t>
  </si>
  <si>
    <t>2020 Base Year Domain Emissions (tons/episode day) by Source Sector</t>
  </si>
  <si>
    <t>2020 Base Year Domain Space Heat Emissions (tons/episode day) by Use &amp; Fuel Type</t>
  </si>
  <si>
    <t>CONTROL MEASURE IMPLEMENTATION/PHASE-IN SCHEDULE FOR REVISED 5% SIP</t>
  </si>
  <si>
    <t>OYW RFP</t>
  </si>
  <si>
    <t>OYW Attainment</t>
  </si>
  <si>
    <t>Ann Avg Reduction</t>
  </si>
  <si>
    <t>Per 2023 Guidance</t>
  </si>
  <si>
    <t>If Attainment Year Is:</t>
  </si>
  <si>
    <r>
      <t>PM</t>
    </r>
    <r>
      <rPr>
        <b/>
        <vertAlign val="subscript"/>
        <sz val="11"/>
        <color theme="1"/>
        <rFont val="Calibri"/>
        <family val="2"/>
        <scheme val="minor"/>
      </rPr>
      <t>2.5</t>
    </r>
  </si>
  <si>
    <r>
      <t>SO</t>
    </r>
    <r>
      <rPr>
        <b/>
        <vertAlign val="subscript"/>
        <sz val="11"/>
        <color theme="1"/>
        <rFont val="Calibri"/>
        <family val="2"/>
        <scheme val="minor"/>
      </rPr>
      <t>2</t>
    </r>
  </si>
  <si>
    <t xml:space="preserve">Space Heating Target, PM2.5: </t>
  </si>
  <si>
    <t>0%/0%</t>
  </si>
  <si>
    <t>20%/40%</t>
  </si>
  <si>
    <t>Contingency Measure OYW Targets (tpd)</t>
  </si>
  <si>
    <t>Relative MVEB Contributions:</t>
  </si>
  <si>
    <t>(DRAFT FINAL - 01/09/2024)</t>
  </si>
  <si>
    <t>(2020-2027 linear reduction per year)</t>
  </si>
  <si>
    <t>Emissions Contribution (%)</t>
  </si>
  <si>
    <t>Area, Space Heat, All</t>
  </si>
  <si>
    <t>Area, Space Heat, Wood</t>
  </si>
  <si>
    <t>Area, Space Heat, Oil</t>
  </si>
  <si>
    <t>Area, Space Heat, Coal</t>
  </si>
  <si>
    <t>Area, Space Heat, Other</t>
  </si>
  <si>
    <t>NA Area Episodic Emissions (tons/day)</t>
  </si>
  <si>
    <t>Mobile, On-Road</t>
  </si>
  <si>
    <t>Mobile, Aircraft</t>
  </si>
  <si>
    <t>Mobile, Non-Road less aircraft</t>
  </si>
  <si>
    <t>Attainment</t>
  </si>
  <si>
    <t>NOx Emissions (tons/episode-day)</t>
  </si>
  <si>
    <t>VOC Emissions (tons/episode-day)</t>
  </si>
  <si>
    <t>% Change Relative to 2020 Baseline - G3 Domain</t>
  </si>
  <si>
    <t>% Change Relative to 2020 Baseline -NA Area</t>
  </si>
  <si>
    <t>Projected Baseline</t>
  </si>
  <si>
    <t>2019 Baseline 2020 Amendment Plan G3 Emissions</t>
  </si>
  <si>
    <t>Reductions Relative</t>
  </si>
  <si>
    <t>to 2020 Baseline</t>
  </si>
  <si>
    <t>PM2.5 Reductions</t>
  </si>
  <si>
    <t>CURT-S1</t>
  </si>
  <si>
    <t>CURT-S2</t>
  </si>
  <si>
    <t>TOTAL-S1</t>
  </si>
  <si>
    <t>TOTAL-S2</t>
  </si>
  <si>
    <t>SO2 Reductions</t>
  </si>
  <si>
    <t>Relative Diff (%) - 2024 vs 2020 Amendment Baseline</t>
  </si>
  <si>
    <t>Sector Emission Summary Calculation Spreadsheet</t>
  </si>
  <si>
    <r>
      <rPr>
        <b/>
        <u/>
        <sz val="11"/>
        <color rgb="FFFF0000"/>
        <rFont val="Calibri"/>
        <family val="2"/>
        <scheme val="minor"/>
      </rPr>
      <t>Note</t>
    </r>
    <r>
      <rPr>
        <b/>
        <sz val="11"/>
        <color rgb="FFFF0000"/>
        <rFont val="Calibri"/>
        <family val="2"/>
        <scheme val="minor"/>
      </rPr>
      <t>:  This spreadsheet is common to Appendices III.D.7.06 (Inventory), III.D.7.09 (Attainment) and III.D.7.10 (RFP/QM)</t>
    </r>
  </si>
  <si>
    <t>Sheet Tab(s)</t>
  </si>
  <si>
    <t>Description</t>
  </si>
  <si>
    <r>
      <t>SectorSum</t>
    </r>
    <r>
      <rPr>
        <i/>
        <sz val="11"/>
        <color rgb="FFFF0000"/>
        <rFont val="Calibri"/>
        <family val="2"/>
        <scheme val="minor"/>
      </rPr>
      <t>YYYY</t>
    </r>
  </si>
  <si>
    <t>Points</t>
  </si>
  <si>
    <t>Detailed emissions for the Point source sector by calendar year and control scenario (Baseline vs. Control), including facility-specific emissions</t>
  </si>
  <si>
    <t>SpaceHeat</t>
  </si>
  <si>
    <t>Summary tables of: 1) calculated "phase-in/penetration" metrics specific to each quantified control measure used to evaluate attainment and RFP; and 2) calculated control measure specific emission reductions and combined control emissions in the space heating sector by calendar year</t>
  </si>
  <si>
    <t>OnRoad</t>
  </si>
  <si>
    <r>
      <rPr>
        <i/>
        <sz val="11"/>
        <color rgb="FFFF0000"/>
        <rFont val="Calibri"/>
        <family val="2"/>
        <scheme val="minor"/>
      </rPr>
      <t>YYYY</t>
    </r>
    <r>
      <rPr>
        <sz val="11"/>
        <rFont val="Calibri"/>
        <family val="2"/>
        <scheme val="minor"/>
      </rPr>
      <t>NRARSummary</t>
    </r>
  </si>
  <si>
    <r>
      <t xml:space="preserve">These calendar year-specific sheets contain tabulated modeling domain and nonattainment area emissions for both the Other Area and Non-Road Mobile source sectors.  Within the Non-Road Mobile sector, non-road equipment, rail and aircraft emissions are also provided. The </t>
    </r>
    <r>
      <rPr>
        <i/>
        <sz val="11"/>
        <color rgb="FFFF0000"/>
        <rFont val="Calibri"/>
        <family val="2"/>
        <scheme val="minor"/>
      </rPr>
      <t>YYYY</t>
    </r>
    <r>
      <rPr>
        <sz val="11"/>
        <color theme="1"/>
        <rFont val="Calibri"/>
        <family val="2"/>
        <scheme val="minor"/>
      </rPr>
      <t xml:space="preserve"> in each sheet name refers to the inventory year.</t>
    </r>
  </si>
  <si>
    <r>
      <t>TabSpHt</t>
    </r>
    <r>
      <rPr>
        <i/>
        <sz val="11"/>
        <color rgb="FFFF0000"/>
        <rFont val="Calibri"/>
        <family val="2"/>
        <scheme val="minor"/>
      </rPr>
      <t>YYYY</t>
    </r>
  </si>
  <si>
    <t>Fairbanks PM2.5 5% 2024 Amendments SIP</t>
  </si>
  <si>
    <t>RFP-Rev5Pct</t>
  </si>
  <si>
    <t>Emis-Rev5Pct</t>
  </si>
  <si>
    <t>This sheet contains Reasonable Further Progress (RFP) emission inventory calculations and compares control emissions to linear RFP targets in applicable Quantitative Milestone (QM) years of 2020, 2023, 2026 and 2029 based on the 2020 Baseline and 2027 Control/Attainment nonattainment area inventories.  Applicable pollutants are PM2.5, SO2 and NH3.</t>
  </si>
  <si>
    <t>This sheet contains 2020 Baseline and Control nonattainment area inventories from 2020-2029 that are used to calculate 5% per year reduction targets and evaluate compliance with Section 189(d) 5% per year emission reduction requirements for applicable pollutants PM2.5 and SO2.  Only years 2020-2027 are applicable.</t>
  </si>
  <si>
    <r>
      <t xml:space="preserve">Tabulated summaries of emissions by source sector and sector percentage contributions for both the Grid 3 modeling domain and the PM2.5 nonattainment area where </t>
    </r>
    <r>
      <rPr>
        <i/>
        <sz val="11"/>
        <color rgb="FFFF0000"/>
        <rFont val="Calibri"/>
        <family val="2"/>
        <scheme val="minor"/>
      </rPr>
      <t>YYYY</t>
    </r>
    <r>
      <rPr>
        <sz val="11"/>
        <color theme="1"/>
        <rFont val="Calibri"/>
        <family val="2"/>
        <scheme val="minor"/>
      </rPr>
      <t xml:space="preserve"> is the inventory year: 2020 Baseline, 2026 Control, 2027 Control; 2027PB is 2027 Projected Baseline.</t>
    </r>
  </si>
  <si>
    <t>OYWCalcs</t>
  </si>
  <si>
    <t>Calculation of One Year's Worth (OYW) emission reduction targets by candidate attainment year based on EPA's March 2023 Draft Contingency Measure guidance.  OYW attainment emission targets from this sheet are copied into "CMSummary" tab of 2024Amendment_ControlMeasureBenefits_DftFnl.xlsx spreadsheet.</t>
  </si>
  <si>
    <t>This sheet contains modeling domain and nonattainment area on-road mobile source emission summaries tabulated from MOVES3 modeling runs.  Emissions are summarized by pollutant and calendar year.  Travel activity (VMT) and vehicle populations are also shown.</t>
  </si>
  <si>
    <t>Finally, these sheets contain modeling domain and nonattainment area space heating emissions by heating device/fuel type (i.e., SCC-level) for each applicable inventory year: (2020 Baseline) and 2020-2029 Control.</t>
  </si>
  <si>
    <t xml:space="preserve">                                                                                                      Space Heating SMOKE File Tabulation                                                                   12:26 Friday, July 5, 2024   1</t>
  </si>
  <si>
    <t xml:space="preserve">                                                                                                      Space Heating SMOKE File Tabulation                                                                   12:26 Friday, July 5, 2024   2</t>
  </si>
  <si>
    <t xml:space="preserve">                                                                                                      Space Heating SMOKE File Tabulation                                                                   12:26 Friday, July 5, 2024   3</t>
  </si>
  <si>
    <t xml:space="preserve">                                                                                                      Space Heating SMOKE File Tabulation                                                                   12:29 Friday, July 5, 2024   1</t>
  </si>
  <si>
    <t xml:space="preserve">                                                                                                      Space Heating SMOKE File Tabulation                                                                   12:29 Friday, July 5, 2024   2</t>
  </si>
  <si>
    <t xml:space="preserve">                                                                                                      Space Heating SMOKE File Tabulation                                                                   12:29 Friday, July 5, 2024   3</t>
  </si>
  <si>
    <t xml:space="preserve">                                                                                                      Space Heating SMOKE File Tabulation                                                                   12:30 Friday, July 5, 2024   1</t>
  </si>
  <si>
    <t xml:space="preserve">                                                                                                      Space Heating SMOKE File Tabulation                                                                   12:30 Friday, July 5, 2024   2</t>
  </si>
  <si>
    <t xml:space="preserve">                                                                                                      Space Heating SMOKE File Tabulation                                                                   12:30 Friday, July 5, 2024   3</t>
  </si>
  <si>
    <t xml:space="preserve">                                                                                                      Space Heating SMOKE File Tabulation                                                                   12:32 Friday, July 5, 2024   1</t>
  </si>
  <si>
    <t xml:space="preserve">                                                                                                      Space Heating SMOKE File Tabulation                                                                   12:32 Friday, July 5, 2024   2</t>
  </si>
  <si>
    <t xml:space="preserve">                                                                                                      Space Heating SMOKE File Tabulation                                                                   12:32 Friday, July 5, 2024   3</t>
  </si>
  <si>
    <t xml:space="preserve">                                                                                                      Space Heating SMOKE File Tabulation                                                                   12:33 Friday, July 5, 2024   1</t>
  </si>
  <si>
    <t xml:space="preserve">                                                                                                      Space Heating SMOKE File Tabulation                                                                   12:33 Friday, July 5, 2024   2</t>
  </si>
  <si>
    <t xml:space="preserve">                                                                                                      Space Heating SMOKE File Tabulation                                                                   12:33 Friday, July 5, 2024   3</t>
  </si>
  <si>
    <t>(07/30/24)</t>
  </si>
  <si>
    <t>PM25-Exh</t>
  </si>
  <si>
    <t>PM25-BTW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</si>
</sst>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00"/>
    <numFmt numFmtId="165" formatCode="0.0%"/>
    <numFmt numFmtId="166" formatCode="0.0000"/>
    <numFmt numFmtId="167" formatCode="0.000;[Red]\-0.000"/>
    <numFmt numFmtId="168" formatCode="0.00000"/>
    <numFmt numFmtId="169" formatCode="#,##0.000"/>
    <numFmt numFmtId="170" formatCode="\+0.000;\-0.000"/>
    <numFmt numFmtId="171" formatCode="0.0%;[Red]\-0.0%"/>
    <numFmt numFmtId="172" formatCode="\+0%;[Red]\-0%"/>
    <numFmt numFmtId="173" formatCode="0.00;[Red]\-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u/>
      <sz val="11"/>
      <color theme="1"/>
      <name val="Calibri"/>
      <family val="2"/>
      <scheme val="minor"/>
    </font>
    <font>
      <b/>
      <sz val="9"/>
      <color indexed="81"/>
      <name val="Tahoma"/>
      <family val="2"/>
    </font>
    <font>
      <sz val="9"/>
      <color indexed="81"/>
      <name val="Tahoma"/>
      <family val="2"/>
    </font>
    <font>
      <b/>
      <sz val="14"/>
      <color rgb="FFFF0000"/>
      <name val="Calibri"/>
      <family val="2"/>
      <scheme val="minor"/>
    </font>
    <font>
      <b/>
      <sz val="11"/>
      <color rgb="FF0000FF"/>
      <name val="Calibri"/>
      <family val="2"/>
      <scheme val="minor"/>
    </font>
    <font>
      <b/>
      <sz val="11"/>
      <name val="Calibri"/>
      <family val="2"/>
      <scheme val="minor"/>
    </font>
    <font>
      <b/>
      <sz val="12"/>
      <color theme="1"/>
      <name val="Calibri"/>
      <family val="2"/>
      <scheme val="minor"/>
    </font>
    <font>
      <sz val="11"/>
      <color rgb="FF0000FF"/>
      <name val="Calibri"/>
      <family val="2"/>
      <scheme val="minor"/>
    </font>
    <font>
      <b/>
      <sz val="12"/>
      <color rgb="FFFF0000"/>
      <name val="Calibri"/>
      <family val="2"/>
      <scheme val="minor"/>
    </font>
    <font>
      <sz val="10"/>
      <name val="Arial"/>
      <family val="2"/>
    </font>
    <font>
      <sz val="11"/>
      <name val="Calibri"/>
      <family val="2"/>
      <scheme val="minor"/>
    </font>
    <font>
      <b/>
      <sz val="12"/>
      <color rgb="FF0000FF"/>
      <name val="Calibri"/>
      <family val="2"/>
      <scheme val="minor"/>
    </font>
    <font>
      <vertAlign val="subscript"/>
      <sz val="11"/>
      <color theme="1"/>
      <name val="Calibri"/>
      <family val="2"/>
      <scheme val="minor"/>
    </font>
    <font>
      <b/>
      <vertAlign val="subscript"/>
      <sz val="11"/>
      <color theme="1"/>
      <name val="Calibri"/>
      <family val="2"/>
      <scheme val="minor"/>
    </font>
    <font>
      <sz val="11"/>
      <color theme="1"/>
      <name val="Times New Roman"/>
      <family val="1"/>
    </font>
    <font>
      <b/>
      <sz val="11"/>
      <color rgb="FFFF0000"/>
      <name val="Times New Roman"/>
      <family val="1"/>
    </font>
    <font>
      <b/>
      <sz val="11"/>
      <color theme="1"/>
      <name val="Times New Roman"/>
      <family val="1"/>
    </font>
    <font>
      <b/>
      <sz val="14"/>
      <color theme="1"/>
      <name val="Calibri"/>
      <family val="2"/>
      <scheme val="minor"/>
    </font>
    <font>
      <b/>
      <u/>
      <sz val="11"/>
      <color rgb="FFFF0000"/>
      <name val="Calibri"/>
      <family val="2"/>
      <scheme val="minor"/>
    </font>
    <font>
      <i/>
      <sz val="11"/>
      <color rgb="FFFF0000"/>
      <name val="Calibri"/>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8" tint="0.79998168889431442"/>
        <bgColor indexed="64"/>
      </patternFill>
    </fill>
  </fills>
  <borders count="5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s>
  <cellStyleXfs count="5">
    <xf numFmtId="0" fontId="0" fillId="0" borderId="0"/>
    <xf numFmtId="9" fontId="1" fillId="0" borderId="0" applyFont="0" applyFill="0" applyBorder="0" applyAlignment="0" applyProtection="0"/>
    <xf numFmtId="0" fontId="13" fillId="0" borderId="0"/>
    <xf numFmtId="0" fontId="13" fillId="0" borderId="0"/>
    <xf numFmtId="0" fontId="1" fillId="0" borderId="0"/>
  </cellStyleXfs>
  <cellXfs count="286">
    <xf numFmtId="0" fontId="0" fillId="0" borderId="0" xfId="0"/>
    <xf numFmtId="0" fontId="2" fillId="0" borderId="0" xfId="0" applyFont="1"/>
    <xf numFmtId="164" fontId="0" fillId="0" borderId="0" xfId="0" applyNumberFormat="1"/>
    <xf numFmtId="164" fontId="2" fillId="0" borderId="0" xfId="0" applyNumberFormat="1" applyFont="1"/>
    <xf numFmtId="0" fontId="0" fillId="0" borderId="0" xfId="0" applyAlignment="1">
      <alignment horizontal="center"/>
    </xf>
    <xf numFmtId="0" fontId="0" fillId="0" borderId="8" xfId="0" applyBorder="1" applyAlignment="1">
      <alignment horizontal="center"/>
    </xf>
    <xf numFmtId="164" fontId="2" fillId="3" borderId="0" xfId="0" applyNumberFormat="1" applyFont="1" applyFill="1"/>
    <xf numFmtId="0" fontId="0" fillId="0" borderId="1" xfId="0" applyBorder="1" applyAlignment="1">
      <alignment horizontal="center"/>
    </xf>
    <xf numFmtId="0" fontId="0" fillId="0" borderId="1" xfId="0" applyBorder="1"/>
    <xf numFmtId="0" fontId="2" fillId="0" borderId="9" xfId="0" applyFont="1" applyBorder="1" applyAlignment="1">
      <alignment horizontal="center"/>
    </xf>
    <xf numFmtId="0" fontId="8" fillId="0" borderId="9" xfId="0" applyFont="1" applyBorder="1" applyAlignment="1">
      <alignment horizontal="center"/>
    </xf>
    <xf numFmtId="0" fontId="2" fillId="0" borderId="11" xfId="0" applyFont="1" applyBorder="1" applyAlignment="1">
      <alignment horizontal="center"/>
    </xf>
    <xf numFmtId="0" fontId="2" fillId="0" borderId="10" xfId="0" applyFont="1" applyBorder="1" applyAlignment="1">
      <alignment horizontal="center"/>
    </xf>
    <xf numFmtId="0" fontId="2" fillId="0" borderId="10" xfId="0" applyFont="1" applyBorder="1"/>
    <xf numFmtId="0" fontId="0" fillId="0" borderId="9" xfId="0" applyBorder="1" applyAlignment="1">
      <alignment horizontal="center"/>
    </xf>
    <xf numFmtId="3" fontId="0" fillId="3" borderId="9" xfId="0" applyNumberFormat="1" applyFill="1" applyBorder="1" applyAlignment="1">
      <alignment horizontal="center"/>
    </xf>
    <xf numFmtId="3" fontId="8" fillId="3" borderId="9" xfId="0" applyNumberFormat="1" applyFont="1" applyFill="1" applyBorder="1" applyAlignment="1">
      <alignment horizontal="center"/>
    </xf>
    <xf numFmtId="0" fontId="0" fillId="4" borderId="9" xfId="0" applyFill="1" applyBorder="1" applyAlignment="1">
      <alignment horizontal="center"/>
    </xf>
    <xf numFmtId="0" fontId="0" fillId="0" borderId="9" xfId="0" applyBorder="1"/>
    <xf numFmtId="9" fontId="8" fillId="4" borderId="9" xfId="0" applyNumberFormat="1" applyFont="1" applyFill="1" applyBorder="1" applyAlignment="1">
      <alignment horizontal="center"/>
    </xf>
    <xf numFmtId="9" fontId="0" fillId="4" borderId="9" xfId="0" applyNumberFormat="1" applyFill="1" applyBorder="1" applyAlignment="1">
      <alignment horizontal="center"/>
    </xf>
    <xf numFmtId="0" fontId="4" fillId="0" borderId="0" xfId="0" applyFont="1" applyAlignment="1">
      <alignment horizontal="center"/>
    </xf>
    <xf numFmtId="0" fontId="0" fillId="0" borderId="0" xfId="0" applyAlignment="1">
      <alignment horizontal="right"/>
    </xf>
    <xf numFmtId="0" fontId="0" fillId="0" borderId="11" xfId="0" applyBorder="1" applyAlignment="1">
      <alignment horizontal="center"/>
    </xf>
    <xf numFmtId="167" fontId="0" fillId="0" borderId="9" xfId="0" applyNumberFormat="1" applyBorder="1"/>
    <xf numFmtId="167" fontId="11" fillId="0" borderId="9" xfId="0" applyNumberFormat="1" applyFont="1" applyBorder="1"/>
    <xf numFmtId="167" fontId="0" fillId="5" borderId="9" xfId="0" applyNumberFormat="1" applyFill="1" applyBorder="1"/>
    <xf numFmtId="167" fontId="11" fillId="5" borderId="9" xfId="0" applyNumberFormat="1" applyFont="1" applyFill="1" applyBorder="1"/>
    <xf numFmtId="167" fontId="2" fillId="0" borderId="9" xfId="0" applyNumberFormat="1" applyFont="1" applyBorder="1"/>
    <xf numFmtId="167" fontId="8" fillId="0" borderId="9" xfId="0" applyNumberFormat="1" applyFont="1" applyBorder="1"/>
    <xf numFmtId="164" fontId="0" fillId="0" borderId="9" xfId="0" applyNumberFormat="1" applyBorder="1"/>
    <xf numFmtId="164" fontId="0" fillId="0" borderId="14" xfId="0" applyNumberFormat="1" applyBorder="1"/>
    <xf numFmtId="164" fontId="0" fillId="0" borderId="11" xfId="0" applyNumberFormat="1" applyBorder="1"/>
    <xf numFmtId="164" fontId="0" fillId="0" borderId="20" xfId="0" applyNumberFormat="1" applyBorder="1"/>
    <xf numFmtId="0" fontId="9" fillId="0" borderId="17" xfId="0" applyFont="1" applyBorder="1" applyAlignment="1">
      <alignment horizontal="center"/>
    </xf>
    <xf numFmtId="0" fontId="9" fillId="0" borderId="18" xfId="0" applyFont="1" applyBorder="1" applyAlignment="1">
      <alignment horizontal="center"/>
    </xf>
    <xf numFmtId="0" fontId="2" fillId="0" borderId="23" xfId="0" applyFont="1" applyBorder="1" applyAlignment="1">
      <alignment horizontal="center"/>
    </xf>
    <xf numFmtId="164" fontId="0" fillId="0" borderId="7" xfId="0" applyNumberFormat="1" applyBorder="1"/>
    <xf numFmtId="164" fontId="0" fillId="0" borderId="4" xfId="0" applyNumberFormat="1" applyBorder="1"/>
    <xf numFmtId="0" fontId="0" fillId="0" borderId="24" xfId="0" applyBorder="1"/>
    <xf numFmtId="0" fontId="2" fillId="0" borderId="19" xfId="0" applyFont="1" applyBorder="1" applyAlignment="1">
      <alignment horizontal="center"/>
    </xf>
    <xf numFmtId="0" fontId="0" fillId="0" borderId="25" xfId="0" applyBorder="1"/>
    <xf numFmtId="0" fontId="0" fillId="0" borderId="26" xfId="0" applyBorder="1"/>
    <xf numFmtId="0" fontId="2" fillId="0" borderId="19" xfId="0" applyFont="1" applyBorder="1"/>
    <xf numFmtId="164" fontId="2" fillId="0" borderId="28" xfId="0" applyNumberFormat="1" applyFont="1" applyBorder="1"/>
    <xf numFmtId="164" fontId="2" fillId="0" borderId="29" xfId="0" applyNumberFormat="1" applyFont="1" applyBorder="1"/>
    <xf numFmtId="0" fontId="0" fillId="0" borderId="27" xfId="0" applyBorder="1"/>
    <xf numFmtId="164" fontId="0" fillId="0" borderId="17" xfId="0" applyNumberFormat="1" applyBorder="1"/>
    <xf numFmtId="0" fontId="2" fillId="0" borderId="16" xfId="0" applyFont="1" applyBorder="1" applyAlignment="1">
      <alignment horizontal="center"/>
    </xf>
    <xf numFmtId="164" fontId="0" fillId="0" borderId="15" xfId="0" applyNumberFormat="1" applyBorder="1"/>
    <xf numFmtId="164" fontId="2" fillId="0" borderId="21" xfId="0" applyNumberFormat="1" applyFont="1" applyBorder="1"/>
    <xf numFmtId="0" fontId="2" fillId="0" borderId="31" xfId="0" applyFont="1" applyBorder="1"/>
    <xf numFmtId="164" fontId="2" fillId="0" borderId="5" xfId="0" applyNumberFormat="1" applyFont="1" applyBorder="1"/>
    <xf numFmtId="164" fontId="2" fillId="0" borderId="32" xfId="0" applyNumberFormat="1" applyFont="1" applyBorder="1"/>
    <xf numFmtId="164" fontId="2" fillId="0" borderId="33" xfId="0" applyNumberFormat="1" applyFont="1" applyBorder="1"/>
    <xf numFmtId="0" fontId="2" fillId="5" borderId="34" xfId="0" applyFont="1" applyFill="1" applyBorder="1"/>
    <xf numFmtId="167" fontId="2" fillId="0" borderId="35" xfId="0" applyNumberFormat="1" applyFont="1" applyBorder="1"/>
    <xf numFmtId="167" fontId="2" fillId="0" borderId="36" xfId="0" applyNumberFormat="1" applyFont="1" applyBorder="1"/>
    <xf numFmtId="164" fontId="0" fillId="0" borderId="18" xfId="0" applyNumberFormat="1" applyBorder="1"/>
    <xf numFmtId="168" fontId="0" fillId="0" borderId="0" xfId="0" applyNumberFormat="1"/>
    <xf numFmtId="3" fontId="0" fillId="0" borderId="0" xfId="0" applyNumberFormat="1"/>
    <xf numFmtId="9" fontId="0" fillId="0" borderId="0" xfId="0" applyNumberFormat="1" applyAlignment="1">
      <alignment horizontal="center"/>
    </xf>
    <xf numFmtId="0" fontId="14" fillId="0" borderId="0" xfId="3" applyFont="1"/>
    <xf numFmtId="0" fontId="14" fillId="0" borderId="0" xfId="3" applyFont="1" applyAlignment="1">
      <alignment horizontal="right"/>
    </xf>
    <xf numFmtId="169" fontId="3" fillId="6" borderId="0" xfId="3" applyNumberFormat="1" applyFont="1" applyFill="1"/>
    <xf numFmtId="0" fontId="9" fillId="0" borderId="1" xfId="3" applyFont="1" applyBorder="1"/>
    <xf numFmtId="0" fontId="9" fillId="0" borderId="1" xfId="3" applyFont="1" applyBorder="1" applyAlignment="1">
      <alignment horizontal="center"/>
    </xf>
    <xf numFmtId="164" fontId="14" fillId="0" borderId="0" xfId="3" applyNumberFormat="1" applyFont="1"/>
    <xf numFmtId="0" fontId="14" fillId="0" borderId="0" xfId="3" applyFont="1" applyAlignment="1">
      <alignment horizontal="left" indent="1"/>
    </xf>
    <xf numFmtId="164" fontId="0" fillId="0" borderId="37" xfId="0" applyNumberFormat="1" applyBorder="1"/>
    <xf numFmtId="0" fontId="2" fillId="0" borderId="0" xfId="0" applyFont="1" applyAlignment="1">
      <alignment horizontal="right"/>
    </xf>
    <xf numFmtId="0" fontId="0" fillId="5" borderId="0" xfId="0" applyFill="1"/>
    <xf numFmtId="167" fontId="2" fillId="0" borderId="0" xfId="0" applyNumberFormat="1" applyFont="1"/>
    <xf numFmtId="170" fontId="2" fillId="0" borderId="0" xfId="0" applyNumberFormat="1" applyFont="1"/>
    <xf numFmtId="165" fontId="2" fillId="5" borderId="34" xfId="1" applyNumberFormat="1" applyFont="1" applyFill="1" applyBorder="1"/>
    <xf numFmtId="171" fontId="2" fillId="0" borderId="35" xfId="1" applyNumberFormat="1" applyFont="1" applyFill="1" applyBorder="1"/>
    <xf numFmtId="171" fontId="2" fillId="0" borderId="36" xfId="1" applyNumberFormat="1" applyFont="1" applyFill="1" applyBorder="1"/>
    <xf numFmtId="0" fontId="3" fillId="0" borderId="0" xfId="0" applyFont="1"/>
    <xf numFmtId="0" fontId="0" fillId="3" borderId="0" xfId="0" applyFill="1"/>
    <xf numFmtId="165" fontId="0" fillId="0" borderId="0" xfId="1" applyNumberFormat="1" applyFont="1"/>
    <xf numFmtId="165" fontId="0" fillId="0" borderId="0" xfId="0" applyNumberFormat="1"/>
    <xf numFmtId="165" fontId="0" fillId="3" borderId="0" xfId="0" applyNumberFormat="1" applyFill="1"/>
    <xf numFmtId="0" fontId="0" fillId="2" borderId="0" xfId="0" applyFill="1"/>
    <xf numFmtId="164" fontId="0" fillId="7" borderId="7" xfId="0" applyNumberFormat="1" applyFill="1" applyBorder="1"/>
    <xf numFmtId="164" fontId="0" fillId="7" borderId="4" xfId="0" applyNumberFormat="1" applyFill="1" applyBorder="1"/>
    <xf numFmtId="164" fontId="0" fillId="7" borderId="23" xfId="0" applyNumberFormat="1" applyFill="1" applyBorder="1"/>
    <xf numFmtId="0" fontId="9" fillId="7" borderId="17" xfId="0" applyFont="1" applyFill="1" applyBorder="1" applyAlignment="1">
      <alignment horizontal="center"/>
    </xf>
    <xf numFmtId="0" fontId="9" fillId="3" borderId="17" xfId="0" applyFont="1" applyFill="1" applyBorder="1" applyAlignment="1">
      <alignment horizontal="center"/>
    </xf>
    <xf numFmtId="164" fontId="0" fillId="3" borderId="11" xfId="0" applyNumberFormat="1" applyFill="1" applyBorder="1"/>
    <xf numFmtId="164" fontId="0" fillId="3" borderId="9" xfId="0" applyNumberFormat="1" applyFill="1" applyBorder="1"/>
    <xf numFmtId="164" fontId="0" fillId="3" borderId="4" xfId="0" applyNumberFormat="1" applyFill="1" applyBorder="1"/>
    <xf numFmtId="164" fontId="0" fillId="3" borderId="17" xfId="0" applyNumberFormat="1" applyFill="1" applyBorder="1"/>
    <xf numFmtId="164" fontId="2" fillId="3" borderId="28" xfId="0" applyNumberFormat="1" applyFont="1" applyFill="1" applyBorder="1"/>
    <xf numFmtId="164" fontId="2" fillId="7" borderId="39" xfId="0" applyNumberFormat="1" applyFont="1" applyFill="1" applyBorder="1"/>
    <xf numFmtId="165" fontId="2" fillId="0" borderId="0" xfId="1" applyNumberFormat="1" applyFont="1"/>
    <xf numFmtId="166" fontId="0" fillId="0" borderId="0" xfId="0" applyNumberFormat="1" applyAlignment="1">
      <alignment horizontal="center"/>
    </xf>
    <xf numFmtId="0" fontId="2" fillId="0" borderId="34" xfId="0" applyFont="1" applyBorder="1" applyAlignment="1">
      <alignment horizontal="center"/>
    </xf>
    <xf numFmtId="0" fontId="9" fillId="0" borderId="35" xfId="0" applyFont="1" applyBorder="1" applyAlignment="1">
      <alignment horizontal="center"/>
    </xf>
    <xf numFmtId="0" fontId="9" fillId="0" borderId="36" xfId="0" applyFont="1" applyBorder="1" applyAlignment="1">
      <alignment horizontal="center"/>
    </xf>
    <xf numFmtId="164" fontId="0" fillId="0" borderId="40" xfId="0" applyNumberFormat="1" applyBorder="1"/>
    <xf numFmtId="164" fontId="0" fillId="0" borderId="16" xfId="0" applyNumberFormat="1" applyBorder="1"/>
    <xf numFmtId="164" fontId="2" fillId="0" borderId="41" xfId="0" applyNumberFormat="1" applyFont="1" applyBorder="1"/>
    <xf numFmtId="164" fontId="0" fillId="0" borderId="42" xfId="0" applyNumberFormat="1" applyBorder="1"/>
    <xf numFmtId="164" fontId="0" fillId="0" borderId="43" xfId="0" applyNumberFormat="1" applyBorder="1"/>
    <xf numFmtId="164" fontId="0" fillId="0" borderId="44" xfId="0" applyNumberFormat="1" applyBorder="1"/>
    <xf numFmtId="164" fontId="0" fillId="0" borderId="45" xfId="0" applyNumberFormat="1" applyBorder="1"/>
    <xf numFmtId="164" fontId="0" fillId="0" borderId="46" xfId="0" applyNumberFormat="1" applyBorder="1"/>
    <xf numFmtId="164" fontId="0" fillId="0" borderId="39" xfId="0" applyNumberFormat="1" applyBorder="1"/>
    <xf numFmtId="167" fontId="0" fillId="0" borderId="0" xfId="0" applyNumberFormat="1"/>
    <xf numFmtId="167" fontId="0" fillId="0" borderId="1" xfId="0" applyNumberFormat="1" applyBorder="1"/>
    <xf numFmtId="164" fontId="0" fillId="0" borderId="6" xfId="0" applyNumberFormat="1" applyBorder="1"/>
    <xf numFmtId="164" fontId="0" fillId="0" borderId="48" xfId="0" applyNumberFormat="1" applyBorder="1"/>
    <xf numFmtId="164" fontId="0" fillId="7" borderId="43" xfId="0" applyNumberFormat="1" applyFill="1" applyBorder="1"/>
    <xf numFmtId="164" fontId="0" fillId="3" borderId="43" xfId="0" applyNumberFormat="1" applyFill="1" applyBorder="1"/>
    <xf numFmtId="0" fontId="2" fillId="0" borderId="0" xfId="0" applyFont="1" applyAlignment="1">
      <alignment horizontal="center"/>
    </xf>
    <xf numFmtId="0" fontId="0" fillId="5" borderId="0" xfId="0" applyFill="1" applyAlignment="1">
      <alignment horizontal="center"/>
    </xf>
    <xf numFmtId="164" fontId="2" fillId="0" borderId="0" xfId="0" applyNumberFormat="1" applyFont="1" applyAlignment="1">
      <alignment horizontal="center"/>
    </xf>
    <xf numFmtId="167" fontId="2" fillId="0" borderId="0" xfId="0" applyNumberFormat="1" applyFont="1" applyAlignment="1">
      <alignment horizontal="center"/>
    </xf>
    <xf numFmtId="170" fontId="2" fillId="0" borderId="0" xfId="0" applyNumberFormat="1" applyFont="1" applyAlignment="1">
      <alignment horizontal="center"/>
    </xf>
    <xf numFmtId="164" fontId="2" fillId="3" borderId="0" xfId="0" applyNumberFormat="1" applyFont="1" applyFill="1" applyAlignment="1">
      <alignment horizontal="center"/>
    </xf>
    <xf numFmtId="166" fontId="0" fillId="0" borderId="0" xfId="0" applyNumberFormat="1"/>
    <xf numFmtId="0" fontId="0" fillId="6" borderId="8" xfId="0" applyFill="1" applyBorder="1" applyAlignment="1">
      <alignment horizontal="center"/>
    </xf>
    <xf numFmtId="164" fontId="0" fillId="6" borderId="0" xfId="0" applyNumberFormat="1" applyFill="1"/>
    <xf numFmtId="166" fontId="0" fillId="6" borderId="0" xfId="0" applyNumberFormat="1" applyFill="1" applyAlignment="1">
      <alignment horizontal="center"/>
    </xf>
    <xf numFmtId="0" fontId="2" fillId="0" borderId="53" xfId="0" applyFont="1" applyBorder="1" applyAlignment="1">
      <alignment horizontal="center"/>
    </xf>
    <xf numFmtId="0" fontId="0" fillId="0" borderId="54" xfId="0" applyBorder="1"/>
    <xf numFmtId="0" fontId="0" fillId="0" borderId="55" xfId="0" applyBorder="1"/>
    <xf numFmtId="0" fontId="0" fillId="0" borderId="37" xfId="0" applyBorder="1"/>
    <xf numFmtId="0" fontId="2" fillId="0" borderId="53" xfId="0" applyFont="1" applyBorder="1"/>
    <xf numFmtId="2" fontId="0" fillId="0" borderId="11" xfId="0" applyNumberFormat="1" applyBorder="1"/>
    <xf numFmtId="2" fontId="0" fillId="0" borderId="9" xfId="0" applyNumberFormat="1" applyBorder="1"/>
    <xf numFmtId="2" fontId="0" fillId="0" borderId="17" xfId="0" applyNumberFormat="1" applyBorder="1"/>
    <xf numFmtId="2" fontId="2" fillId="0" borderId="28" xfId="0" applyNumberFormat="1" applyFont="1" applyBorder="1"/>
    <xf numFmtId="9" fontId="0" fillId="0" borderId="11" xfId="1" applyFont="1" applyBorder="1"/>
    <xf numFmtId="9" fontId="0" fillId="0" borderId="9" xfId="0" applyNumberFormat="1" applyBorder="1"/>
    <xf numFmtId="9" fontId="0" fillId="0" borderId="17" xfId="0" applyNumberFormat="1" applyBorder="1"/>
    <xf numFmtId="9" fontId="2" fillId="0" borderId="28" xfId="1" applyFont="1" applyBorder="1"/>
    <xf numFmtId="9" fontId="0" fillId="0" borderId="20" xfId="1" applyFont="1" applyBorder="1"/>
    <xf numFmtId="9" fontId="0" fillId="0" borderId="14" xfId="0" applyNumberFormat="1" applyBorder="1"/>
    <xf numFmtId="9" fontId="0" fillId="0" borderId="18" xfId="0" applyNumberFormat="1" applyBorder="1"/>
    <xf numFmtId="9" fontId="2" fillId="0" borderId="29" xfId="1" applyFont="1" applyBorder="1"/>
    <xf numFmtId="2" fontId="0" fillId="8" borderId="11" xfId="0" applyNumberFormat="1" applyFill="1" applyBorder="1"/>
    <xf numFmtId="2" fontId="0" fillId="8" borderId="9" xfId="0" applyNumberFormat="1" applyFill="1" applyBorder="1"/>
    <xf numFmtId="2" fontId="0" fillId="8" borderId="17" xfId="0" applyNumberFormat="1" applyFill="1" applyBorder="1"/>
    <xf numFmtId="2" fontId="2" fillId="8" borderId="28" xfId="0" applyNumberFormat="1" applyFont="1" applyFill="1" applyBorder="1"/>
    <xf numFmtId="2" fontId="0" fillId="3" borderId="11" xfId="0" applyNumberFormat="1" applyFill="1" applyBorder="1"/>
    <xf numFmtId="2" fontId="0" fillId="3" borderId="9" xfId="0" applyNumberFormat="1" applyFill="1" applyBorder="1"/>
    <xf numFmtId="2" fontId="0" fillId="3" borderId="17" xfId="0" applyNumberFormat="1" applyFill="1" applyBorder="1"/>
    <xf numFmtId="2" fontId="2" fillId="3" borderId="28" xfId="0" applyNumberFormat="1" applyFont="1" applyFill="1" applyBorder="1"/>
    <xf numFmtId="9" fontId="0" fillId="3" borderId="11" xfId="1" applyFont="1" applyFill="1" applyBorder="1"/>
    <xf numFmtId="9" fontId="0" fillId="3" borderId="9" xfId="0" applyNumberFormat="1" applyFill="1" applyBorder="1"/>
    <xf numFmtId="9" fontId="0" fillId="3" borderId="17" xfId="0" applyNumberFormat="1" applyFill="1" applyBorder="1"/>
    <xf numFmtId="9" fontId="2" fillId="3" borderId="28" xfId="1" applyFont="1" applyFill="1" applyBorder="1"/>
    <xf numFmtId="9" fontId="0" fillId="8" borderId="11" xfId="1" applyFont="1" applyFill="1" applyBorder="1"/>
    <xf numFmtId="9" fontId="0" fillId="8" borderId="9" xfId="0" applyNumberFormat="1" applyFill="1" applyBorder="1"/>
    <xf numFmtId="9" fontId="0" fillId="8" borderId="17" xfId="0" applyNumberFormat="1" applyFill="1" applyBorder="1"/>
    <xf numFmtId="9" fontId="2" fillId="8" borderId="28" xfId="1" applyFont="1" applyFill="1" applyBorder="1"/>
    <xf numFmtId="0" fontId="2" fillId="8" borderId="28" xfId="0" applyFont="1" applyFill="1" applyBorder="1" applyAlignment="1">
      <alignment horizontal="center"/>
    </xf>
    <xf numFmtId="0" fontId="2" fillId="3" borderId="28" xfId="0" applyFont="1" applyFill="1" applyBorder="1" applyAlignment="1">
      <alignment horizontal="center"/>
    </xf>
    <xf numFmtId="0" fontId="2" fillId="0" borderId="28" xfId="0" applyFont="1" applyBorder="1" applyAlignment="1">
      <alignment horizontal="center"/>
    </xf>
    <xf numFmtId="0" fontId="2" fillId="0" borderId="29" xfId="0" applyFont="1" applyBorder="1" applyAlignment="1">
      <alignment horizontal="center"/>
    </xf>
    <xf numFmtId="164" fontId="0" fillId="8" borderId="11" xfId="0" applyNumberFormat="1" applyFill="1" applyBorder="1"/>
    <xf numFmtId="164" fontId="0" fillId="8" borderId="9" xfId="0" applyNumberFormat="1" applyFill="1" applyBorder="1"/>
    <xf numFmtId="164" fontId="0" fillId="8" borderId="17" xfId="0" applyNumberFormat="1" applyFill="1" applyBorder="1"/>
    <xf numFmtId="164" fontId="2" fillId="8" borderId="28" xfId="0" applyNumberFormat="1" applyFont="1" applyFill="1" applyBorder="1"/>
    <xf numFmtId="165" fontId="0" fillId="8" borderId="11" xfId="1" applyNumberFormat="1" applyFont="1" applyFill="1" applyBorder="1"/>
    <xf numFmtId="165" fontId="0" fillId="8" borderId="9" xfId="0" applyNumberFormat="1" applyFill="1" applyBorder="1"/>
    <xf numFmtId="165" fontId="0" fillId="8" borderId="17" xfId="0" applyNumberFormat="1" applyFill="1" applyBorder="1"/>
    <xf numFmtId="165" fontId="0" fillId="3" borderId="11" xfId="1" applyNumberFormat="1" applyFont="1" applyFill="1" applyBorder="1"/>
    <xf numFmtId="165" fontId="0" fillId="0" borderId="11" xfId="1" applyNumberFormat="1" applyFont="1" applyBorder="1"/>
    <xf numFmtId="165" fontId="0" fillId="0" borderId="20" xfId="1" applyNumberFormat="1" applyFont="1" applyBorder="1"/>
    <xf numFmtId="165" fontId="0" fillId="3" borderId="9" xfId="0" applyNumberFormat="1" applyFill="1" applyBorder="1"/>
    <xf numFmtId="165" fontId="0" fillId="0" borderId="9" xfId="0" applyNumberFormat="1" applyBorder="1"/>
    <xf numFmtId="165" fontId="0" fillId="0" borderId="14" xfId="0" applyNumberFormat="1" applyBorder="1"/>
    <xf numFmtId="165" fontId="0" fillId="3" borderId="17" xfId="0" applyNumberFormat="1" applyFill="1" applyBorder="1"/>
    <xf numFmtId="165" fontId="0" fillId="0" borderId="17" xfId="0" applyNumberFormat="1" applyBorder="1"/>
    <xf numFmtId="165" fontId="0" fillId="0" borderId="18" xfId="0" applyNumberFormat="1" applyBorder="1"/>
    <xf numFmtId="0" fontId="2" fillId="0" borderId="1" xfId="0" applyFont="1" applyBorder="1" applyAlignment="1">
      <alignment horizontal="center"/>
    </xf>
    <xf numFmtId="9" fontId="8" fillId="4" borderId="9" xfId="1" applyFont="1" applyFill="1" applyBorder="1" applyAlignment="1">
      <alignment horizontal="center"/>
    </xf>
    <xf numFmtId="9" fontId="0" fillId="4" borderId="9" xfId="1" applyFont="1" applyFill="1" applyBorder="1" applyAlignment="1">
      <alignment horizontal="center"/>
    </xf>
    <xf numFmtId="0" fontId="8" fillId="4" borderId="9" xfId="0" applyFont="1" applyFill="1" applyBorder="1" applyAlignment="1">
      <alignment horizontal="center"/>
    </xf>
    <xf numFmtId="164" fontId="0" fillId="9" borderId="9" xfId="0" applyNumberFormat="1" applyFill="1" applyBorder="1"/>
    <xf numFmtId="0" fontId="0" fillId="3" borderId="0" xfId="0" applyFill="1" applyAlignment="1">
      <alignment horizontal="center"/>
    </xf>
    <xf numFmtId="167" fontId="2" fillId="3" borderId="0" xfId="0" applyNumberFormat="1" applyFont="1" applyFill="1"/>
    <xf numFmtId="0" fontId="9" fillId="3" borderId="18" xfId="0" applyFont="1" applyFill="1" applyBorder="1" applyAlignment="1">
      <alignment horizontal="center"/>
    </xf>
    <xf numFmtId="164" fontId="0" fillId="3" borderId="20" xfId="0" applyNumberFormat="1" applyFill="1" applyBorder="1"/>
    <xf numFmtId="164" fontId="0" fillId="3" borderId="38" xfId="0" applyNumberFormat="1" applyFill="1" applyBorder="1"/>
    <xf numFmtId="164" fontId="0" fillId="3" borderId="49" xfId="0" applyNumberFormat="1" applyFill="1" applyBorder="1"/>
    <xf numFmtId="164" fontId="0" fillId="3" borderId="18" xfId="0" applyNumberFormat="1" applyFill="1" applyBorder="1"/>
    <xf numFmtId="164" fontId="2" fillId="3" borderId="29" xfId="0" applyNumberFormat="1" applyFont="1" applyFill="1" applyBorder="1"/>
    <xf numFmtId="0" fontId="9" fillId="10" borderId="17" xfId="0" applyFont="1" applyFill="1" applyBorder="1" applyAlignment="1">
      <alignment horizontal="center"/>
    </xf>
    <xf numFmtId="164" fontId="0" fillId="10" borderId="6" xfId="0" applyNumberFormat="1" applyFill="1" applyBorder="1"/>
    <xf numFmtId="164" fontId="0" fillId="10" borderId="2" xfId="0" applyNumberFormat="1" applyFill="1" applyBorder="1"/>
    <xf numFmtId="164" fontId="0" fillId="10" borderId="3" xfId="0" applyNumberFormat="1" applyFill="1" applyBorder="1"/>
    <xf numFmtId="164" fontId="0" fillId="10" borderId="42" xfId="0" applyNumberFormat="1" applyFill="1" applyBorder="1"/>
    <xf numFmtId="164" fontId="0" fillId="10" borderId="48" xfId="0" applyNumberFormat="1" applyFill="1" applyBorder="1"/>
    <xf numFmtId="164" fontId="2" fillId="10" borderId="28" xfId="0" applyNumberFormat="1" applyFont="1" applyFill="1" applyBorder="1"/>
    <xf numFmtId="164" fontId="2" fillId="10" borderId="0" xfId="0" applyNumberFormat="1" applyFont="1" applyFill="1"/>
    <xf numFmtId="167" fontId="2" fillId="10" borderId="0" xfId="0" applyNumberFormat="1" applyFont="1" applyFill="1"/>
    <xf numFmtId="164" fontId="0" fillId="0" borderId="1" xfId="0" applyNumberFormat="1" applyBorder="1"/>
    <xf numFmtId="164" fontId="2" fillId="0" borderId="0" xfId="0" applyNumberFormat="1" applyFont="1" applyAlignment="1">
      <alignment horizontal="right"/>
    </xf>
    <xf numFmtId="0" fontId="18" fillId="0" borderId="0" xfId="0" applyFont="1"/>
    <xf numFmtId="172" fontId="18" fillId="0" borderId="0" xfId="0" applyNumberFormat="1" applyFont="1"/>
    <xf numFmtId="0" fontId="20" fillId="0" borderId="2" xfId="0" applyFont="1" applyBorder="1"/>
    <xf numFmtId="0" fontId="20" fillId="0" borderId="3" xfId="0" applyFont="1" applyBorder="1" applyAlignment="1">
      <alignment horizontal="center"/>
    </xf>
    <xf numFmtId="0" fontId="20" fillId="0" borderId="4" xfId="0" applyFont="1" applyBorder="1" applyAlignment="1">
      <alignment horizontal="center"/>
    </xf>
    <xf numFmtId="0" fontId="18" fillId="0" borderId="56" xfId="0" applyFont="1" applyBorder="1"/>
    <xf numFmtId="2" fontId="18" fillId="0" borderId="0" xfId="0" applyNumberFormat="1" applyFont="1"/>
    <xf numFmtId="164" fontId="18" fillId="0" borderId="5" xfId="0" applyNumberFormat="1" applyFont="1" applyBorder="1"/>
    <xf numFmtId="165" fontId="18" fillId="0" borderId="0" xfId="1" applyNumberFormat="1" applyFont="1" applyBorder="1"/>
    <xf numFmtId="165" fontId="18" fillId="0" borderId="0" xfId="0" applyNumberFormat="1" applyFont="1"/>
    <xf numFmtId="165" fontId="18" fillId="0" borderId="5" xfId="0" applyNumberFormat="1" applyFont="1" applyBorder="1"/>
    <xf numFmtId="0" fontId="18" fillId="0" borderId="56" xfId="0" applyFont="1" applyBorder="1" applyAlignment="1">
      <alignment horizontal="left" indent="1"/>
    </xf>
    <xf numFmtId="2" fontId="0" fillId="0" borderId="0" xfId="0" applyNumberFormat="1"/>
    <xf numFmtId="0" fontId="18" fillId="0" borderId="6" xfId="0" applyFont="1" applyBorder="1"/>
    <xf numFmtId="2" fontId="18" fillId="0" borderId="1" xfId="0" applyNumberFormat="1" applyFont="1" applyBorder="1"/>
    <xf numFmtId="164" fontId="18" fillId="0" borderId="7" xfId="0" applyNumberFormat="1" applyFont="1" applyBorder="1"/>
    <xf numFmtId="165" fontId="18" fillId="0" borderId="1" xfId="0" applyNumberFormat="1" applyFont="1" applyBorder="1"/>
    <xf numFmtId="165" fontId="18" fillId="0" borderId="7" xfId="0" applyNumberFormat="1" applyFont="1" applyBorder="1"/>
    <xf numFmtId="0" fontId="20" fillId="0" borderId="6" xfId="0" applyFont="1" applyBorder="1"/>
    <xf numFmtId="2" fontId="20" fillId="0" borderId="1" xfId="0" applyNumberFormat="1" applyFont="1" applyBorder="1"/>
    <xf numFmtId="164" fontId="20" fillId="0" borderId="7" xfId="0" applyNumberFormat="1" applyFont="1" applyBorder="1"/>
    <xf numFmtId="165" fontId="20" fillId="0" borderId="1" xfId="0" applyNumberFormat="1" applyFont="1" applyBorder="1"/>
    <xf numFmtId="165" fontId="20" fillId="0" borderId="7" xfId="0" applyNumberFormat="1" applyFont="1" applyBorder="1"/>
    <xf numFmtId="0" fontId="2" fillId="4" borderId="0" xfId="0" applyFont="1" applyFill="1" applyAlignment="1">
      <alignment horizontal="center" vertical="center"/>
    </xf>
    <xf numFmtId="172" fontId="18" fillId="0" borderId="5" xfId="0" applyNumberFormat="1" applyFont="1" applyBorder="1"/>
    <xf numFmtId="172" fontId="18" fillId="0" borderId="1" xfId="0" applyNumberFormat="1" applyFont="1" applyBorder="1"/>
    <xf numFmtId="172" fontId="18" fillId="0" borderId="7" xfId="0" applyNumberFormat="1" applyFont="1" applyBorder="1"/>
    <xf numFmtId="172" fontId="20" fillId="6" borderId="1" xfId="0" applyNumberFormat="1" applyFont="1" applyFill="1" applyBorder="1"/>
    <xf numFmtId="172" fontId="20" fillId="6" borderId="7" xfId="0" applyNumberFormat="1" applyFont="1" applyFill="1" applyBorder="1"/>
    <xf numFmtId="0" fontId="20" fillId="0" borderId="2" xfId="0" applyFont="1" applyBorder="1" applyAlignment="1">
      <alignment horizontal="center"/>
    </xf>
    <xf numFmtId="172" fontId="18" fillId="0" borderId="56" xfId="1" applyNumberFormat="1" applyFont="1" applyBorder="1"/>
    <xf numFmtId="172" fontId="18" fillId="0" borderId="56" xfId="0" applyNumberFormat="1" applyFont="1" applyBorder="1"/>
    <xf numFmtId="172" fontId="18" fillId="0" borderId="6" xfId="0" applyNumberFormat="1" applyFont="1" applyBorder="1"/>
    <xf numFmtId="172" fontId="20" fillId="6" borderId="6" xfId="0" applyNumberFormat="1" applyFont="1" applyFill="1" applyBorder="1"/>
    <xf numFmtId="0" fontId="20" fillId="3" borderId="0" xfId="0" applyFont="1" applyFill="1"/>
    <xf numFmtId="164" fontId="18" fillId="0" borderId="0" xfId="0" applyNumberFormat="1" applyFont="1"/>
    <xf numFmtId="2" fontId="18" fillId="0" borderId="56" xfId="0" applyNumberFormat="1" applyFont="1" applyBorder="1"/>
    <xf numFmtId="2" fontId="18" fillId="0" borderId="6" xfId="0" applyNumberFormat="1" applyFont="1" applyBorder="1"/>
    <xf numFmtId="2" fontId="20" fillId="0" borderId="2" xfId="0" applyNumberFormat="1" applyFont="1" applyBorder="1"/>
    <xf numFmtId="2" fontId="20" fillId="0" borderId="3" xfId="0" applyNumberFormat="1" applyFont="1" applyBorder="1"/>
    <xf numFmtId="164" fontId="20" fillId="0" borderId="4" xfId="0" applyNumberFormat="1" applyFont="1" applyBorder="1"/>
    <xf numFmtId="9" fontId="0" fillId="0" borderId="0" xfId="1" applyFont="1" applyFill="1"/>
    <xf numFmtId="167" fontId="14" fillId="0" borderId="0" xfId="0" applyNumberFormat="1" applyFont="1"/>
    <xf numFmtId="0" fontId="8" fillId="10" borderId="9" xfId="0" applyFont="1" applyFill="1" applyBorder="1" applyAlignment="1">
      <alignment horizontal="center"/>
    </xf>
    <xf numFmtId="0" fontId="2" fillId="7" borderId="9" xfId="0" applyFont="1" applyFill="1" applyBorder="1" applyAlignment="1">
      <alignment horizontal="center"/>
    </xf>
    <xf numFmtId="0" fontId="0" fillId="0" borderId="4" xfId="0" applyBorder="1"/>
    <xf numFmtId="173" fontId="11" fillId="0" borderId="9" xfId="0" applyNumberFormat="1" applyFont="1" applyBorder="1"/>
    <xf numFmtId="0" fontId="0" fillId="6" borderId="9" xfId="0" applyFill="1" applyBorder="1" applyAlignment="1">
      <alignment horizontal="center"/>
    </xf>
    <xf numFmtId="173" fontId="11" fillId="6" borderId="9" xfId="0" applyNumberFormat="1" applyFont="1" applyFill="1" applyBorder="1"/>
    <xf numFmtId="2" fontId="20" fillId="10" borderId="1" xfId="0" applyNumberFormat="1" applyFont="1" applyFill="1" applyBorder="1"/>
    <xf numFmtId="164" fontId="20" fillId="10" borderId="7" xfId="0" applyNumberFormat="1" applyFont="1" applyFill="1" applyBorder="1"/>
    <xf numFmtId="0" fontId="2" fillId="0" borderId="8" xfId="0" applyFont="1" applyBorder="1"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0" fillId="3" borderId="1" xfId="0" applyFill="1" applyBorder="1" applyAlignment="1">
      <alignment horizontal="center"/>
    </xf>
    <xf numFmtId="164" fontId="0" fillId="3" borderId="0" xfId="0" applyNumberFormat="1" applyFill="1"/>
    <xf numFmtId="0" fontId="21" fillId="0" borderId="0" xfId="0" applyFont="1" applyAlignment="1">
      <alignment horizontal="center"/>
    </xf>
    <xf numFmtId="0" fontId="3" fillId="0" borderId="0" xfId="0" applyFont="1" applyAlignment="1">
      <alignment horizontal="center"/>
    </xf>
    <xf numFmtId="0" fontId="8" fillId="0" borderId="0" xfId="0" applyFont="1" applyAlignment="1">
      <alignment horizontal="center"/>
    </xf>
    <xf numFmtId="0" fontId="2" fillId="0" borderId="0" xfId="0" applyFont="1" applyAlignment="1">
      <alignment horizontal="center"/>
    </xf>
    <xf numFmtId="0" fontId="10" fillId="0" borderId="0" xfId="0" applyFont="1" applyAlignment="1">
      <alignment horizontal="center"/>
    </xf>
    <xf numFmtId="0" fontId="8" fillId="0" borderId="22" xfId="0" applyFont="1" applyBorder="1" applyAlignment="1">
      <alignment horizontal="center"/>
    </xf>
    <xf numFmtId="0" fontId="8" fillId="0" borderId="12" xfId="0" applyFont="1" applyBorder="1" applyAlignment="1">
      <alignment horizontal="center"/>
    </xf>
    <xf numFmtId="0" fontId="8" fillId="0" borderId="47" xfId="0" applyFont="1" applyBorder="1" applyAlignment="1">
      <alignment horizontal="center"/>
    </xf>
    <xf numFmtId="0" fontId="8" fillId="0" borderId="13" xfId="0" applyFont="1" applyBorder="1" applyAlignment="1">
      <alignment horizontal="center"/>
    </xf>
    <xf numFmtId="0" fontId="8" fillId="0" borderId="30"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3" fillId="0" borderId="1" xfId="0" applyFont="1" applyBorder="1" applyAlignment="1">
      <alignment horizontal="center"/>
    </xf>
    <xf numFmtId="0" fontId="8" fillId="0" borderId="50" xfId="0" applyFont="1" applyBorder="1" applyAlignment="1">
      <alignment horizontal="center"/>
    </xf>
    <xf numFmtId="0" fontId="8" fillId="0" borderId="51" xfId="0" applyFont="1" applyBorder="1" applyAlignment="1">
      <alignment horizontal="center"/>
    </xf>
    <xf numFmtId="0" fontId="8" fillId="0" borderId="52" xfId="0" applyFont="1" applyBorder="1" applyAlignment="1">
      <alignment horizontal="center"/>
    </xf>
    <xf numFmtId="0" fontId="19" fillId="0" borderId="1" xfId="0" applyFont="1" applyBorder="1" applyAlignment="1">
      <alignment horizontal="center"/>
    </xf>
    <xf numFmtId="167" fontId="0" fillId="0" borderId="0" xfId="0" applyNumberFormat="1" applyAlignment="1">
      <alignment horizontal="center"/>
    </xf>
    <xf numFmtId="167" fontId="2" fillId="0" borderId="0" xfId="0" applyNumberFormat="1" applyFont="1" applyAlignment="1">
      <alignment horizontal="center"/>
    </xf>
    <xf numFmtId="0" fontId="0" fillId="0" borderId="0" xfId="0" applyAlignment="1">
      <alignment horizontal="center"/>
    </xf>
    <xf numFmtId="0" fontId="7" fillId="0" borderId="0" xfId="0" applyFont="1" applyAlignment="1">
      <alignment horizontal="center"/>
    </xf>
    <xf numFmtId="0" fontId="14" fillId="0" borderId="0" xfId="0" applyFont="1" applyAlignment="1">
      <alignment horizontal="center"/>
    </xf>
    <xf numFmtId="0" fontId="2" fillId="0" borderId="9" xfId="0" applyFont="1" applyBorder="1" applyAlignment="1">
      <alignment horizontal="center"/>
    </xf>
    <xf numFmtId="0" fontId="10" fillId="3" borderId="0" xfId="0" applyFont="1" applyFill="1" applyAlignment="1">
      <alignment horizontal="center"/>
    </xf>
    <xf numFmtId="0" fontId="0" fillId="0" borderId="9" xfId="0" applyBorder="1" applyAlignment="1">
      <alignment horizontal="center"/>
    </xf>
    <xf numFmtId="0" fontId="12" fillId="0" borderId="0" xfId="0" applyFont="1" applyAlignment="1">
      <alignment horizontal="center"/>
    </xf>
    <xf numFmtId="0" fontId="3" fillId="0" borderId="0" xfId="3" applyFont="1" applyAlignment="1">
      <alignment horizontal="center"/>
    </xf>
    <xf numFmtId="0" fontId="15" fillId="0" borderId="0" xfId="3" applyFont="1" applyAlignment="1">
      <alignment horizontal="center"/>
    </xf>
  </cellXfs>
  <cellStyles count="5">
    <cellStyle name="Normal" xfId="0" builtinId="0"/>
    <cellStyle name="Normal 2" xfId="2" xr:uid="{AFC06FD9-9C23-4E56-A8DE-386E9026EAEB}"/>
    <cellStyle name="Normal 2 2" xfId="3" xr:uid="{637ECC25-8EA6-4A9A-AEE2-22B6A6232506}"/>
    <cellStyle name="Normal 2 2 2" xfId="4" xr:uid="{3FEC543E-DF05-4441-9A87-0005729699CC}"/>
    <cellStyle name="Percent" xfId="1" builtinId="5"/>
  </cellStyles>
  <dxfs count="40">
    <dxf>
      <fill>
        <patternFill>
          <bgColor theme="0" tint="-0.14996795556505021"/>
        </patternFill>
      </fill>
    </dxf>
    <dxf>
      <font>
        <color rgb="FF9C0006"/>
      </font>
      <fill>
        <patternFill>
          <bgColor rgb="FFFFC7CE"/>
        </patternFill>
      </fill>
    </dxf>
    <dxf>
      <fill>
        <patternFill>
          <bgColor rgb="FFCCFFCC"/>
        </patternFill>
      </fill>
    </dxf>
    <dxf>
      <fill>
        <patternFill>
          <bgColor rgb="FFFCC4C4"/>
        </patternFill>
      </fill>
    </dxf>
    <dxf>
      <fill>
        <patternFill>
          <bgColor rgb="FFCCFFCC"/>
        </patternFill>
      </fill>
    </dxf>
    <dxf>
      <fill>
        <patternFill>
          <bgColor rgb="FFFCC4C4"/>
        </patternFill>
      </fill>
    </dxf>
    <dxf>
      <fill>
        <patternFill>
          <bgColor rgb="FFCCFFCC"/>
        </patternFill>
      </fill>
    </dxf>
    <dxf>
      <fill>
        <patternFill>
          <bgColor rgb="FFFCC4C4"/>
        </patternFill>
      </fill>
    </dxf>
    <dxf>
      <font>
        <color rgb="FF006100"/>
      </font>
      <fill>
        <patternFill>
          <bgColor rgb="FFC6EFCE"/>
        </patternFill>
      </fill>
    </dxf>
    <dxf>
      <font>
        <color rgb="FF9C0006"/>
      </font>
      <fill>
        <patternFill>
          <bgColor rgb="FFFFC7CE"/>
        </patternFill>
      </fill>
    </dxf>
    <dxf>
      <fill>
        <patternFill>
          <bgColor theme="0" tint="-0.14996795556505021"/>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5187483-19E6-4700-A6F8-2EB31C0D96BB}">
      <tableStyleElement type="wholeTable" dxfId="39"/>
      <tableStyleElement type="headerRow" dxfId="38"/>
    </tableStyle>
  </tableStyles>
  <colors>
    <mruColors>
      <color rgb="FFCCFFCC"/>
      <color rgb="FFFFFFCC"/>
      <color rgb="FF0000FF"/>
      <color rgb="FFFCC4C4"/>
      <color rgb="FFDFDC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'RFP-Rev5Pct'!$S$5:$T$5</c:f>
              <c:numCache>
                <c:formatCode>General</c:formatCode>
                <c:ptCount val="2"/>
                <c:pt idx="0">
                  <c:v>2020</c:v>
                </c:pt>
                <c:pt idx="1">
                  <c:v>2027</c:v>
                </c:pt>
              </c:numCache>
            </c:numRef>
          </c:xVal>
          <c:yVal>
            <c:numRef>
              <c:f>'RFP-Rev5Pct'!$S$13:$T$13</c:f>
              <c:numCache>
                <c:formatCode>0.000</c:formatCode>
                <c:ptCount val="2"/>
                <c:pt idx="0">
                  <c:v>2.9496583664727427</c:v>
                </c:pt>
                <c:pt idx="1">
                  <c:v>1.7418674512941168</c:v>
                </c:pt>
              </c:numCache>
            </c:numRef>
          </c:yVal>
          <c:smooth val="0"/>
          <c:extLst>
            <c:ext xmlns:c16="http://schemas.microsoft.com/office/drawing/2014/chart" uri="{C3380CC4-5D6E-409C-BE32-E72D297353CC}">
              <c16:uniqueId val="{00000000-2ED2-4F58-AF02-0C33C338300E}"/>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'RFP-Rev5Pct'!$N$5:$R$5</c:f>
              <c:numCache>
                <c:formatCode>General</c:formatCode>
                <c:ptCount val="5"/>
                <c:pt idx="0">
                  <c:v>2020</c:v>
                </c:pt>
                <c:pt idx="1">
                  <c:v>2023</c:v>
                </c:pt>
                <c:pt idx="2">
                  <c:v>2026</c:v>
                </c:pt>
                <c:pt idx="3">
                  <c:v>2027</c:v>
                </c:pt>
                <c:pt idx="4">
                  <c:v>2029</c:v>
                </c:pt>
              </c:numCache>
            </c:numRef>
          </c:xVal>
          <c:yVal>
            <c:numRef>
              <c:f>'RFP-Rev5Pct'!$N$12:$R$12</c:f>
              <c:numCache>
                <c:formatCode>0.000</c:formatCode>
                <c:ptCount val="5"/>
                <c:pt idx="0">
                  <c:v>2.9496583664727427</c:v>
                </c:pt>
                <c:pt idx="1">
                  <c:v>2.473184053561428</c:v>
                </c:pt>
                <c:pt idx="2">
                  <c:v>1.9380692156922648</c:v>
                </c:pt>
                <c:pt idx="3">
                  <c:v>1.741867451294117</c:v>
                </c:pt>
                <c:pt idx="4">
                  <c:v>1.6225904178022112</c:v>
                </c:pt>
              </c:numCache>
            </c:numRef>
          </c:yVal>
          <c:smooth val="0"/>
          <c:extLst>
            <c:ext xmlns:c16="http://schemas.microsoft.com/office/drawing/2014/chart" uri="{C3380CC4-5D6E-409C-BE32-E72D297353CC}">
              <c16:uniqueId val="{00000001-2ED2-4F58-AF02-0C33C338300E}"/>
            </c:ext>
          </c:extLst>
        </c:ser>
        <c:dLbls>
          <c:showLegendKey val="0"/>
          <c:showVal val="0"/>
          <c:showCatName val="0"/>
          <c:showSerName val="0"/>
          <c:showPercent val="0"/>
          <c:showBubbleSize val="0"/>
        </c:dLbls>
        <c:axId val="436190143"/>
        <c:axId val="229906655"/>
      </c:scatterChart>
      <c:valAx>
        <c:axId val="436190143"/>
        <c:scaling>
          <c:orientation val="minMax"/>
          <c:max val="2029"/>
          <c:min val="20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majorUnit val="1"/>
      </c:valAx>
      <c:valAx>
        <c:axId val="229906655"/>
        <c:scaling>
          <c:orientation val="minMax"/>
          <c:max val="3"/>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PM</a:t>
                </a:r>
                <a:r>
                  <a:rPr lang="en-US" sz="1050" baseline="-25000">
                    <a:solidFill>
                      <a:schemeClr val="tx1"/>
                    </a:solidFill>
                  </a:rPr>
                  <a:t>2.5</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25"/>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'RFP-Rev5Pct'!$S$23:$T$23</c:f>
              <c:numCache>
                <c:formatCode>General</c:formatCode>
                <c:ptCount val="2"/>
                <c:pt idx="0">
                  <c:v>2020</c:v>
                </c:pt>
                <c:pt idx="1">
                  <c:v>2027</c:v>
                </c:pt>
              </c:numCache>
            </c:numRef>
          </c:xVal>
          <c:yVal>
            <c:numRef>
              <c:f>'RFP-Rev5Pct'!$S$31:$T$31</c:f>
              <c:numCache>
                <c:formatCode>0.000</c:formatCode>
                <c:ptCount val="2"/>
                <c:pt idx="0">
                  <c:v>15.707125886533547</c:v>
                </c:pt>
                <c:pt idx="1">
                  <c:v>14.856761948939464</c:v>
                </c:pt>
              </c:numCache>
            </c:numRef>
          </c:yVal>
          <c:smooth val="0"/>
          <c:extLst>
            <c:ext xmlns:c16="http://schemas.microsoft.com/office/drawing/2014/chart" uri="{C3380CC4-5D6E-409C-BE32-E72D297353CC}">
              <c16:uniqueId val="{00000000-09B1-4474-915E-B533A3E6F7EC}"/>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'RFP-Rev5Pct'!$N$23:$R$23</c:f>
              <c:numCache>
                <c:formatCode>General</c:formatCode>
                <c:ptCount val="5"/>
                <c:pt idx="0">
                  <c:v>2020</c:v>
                </c:pt>
                <c:pt idx="1">
                  <c:v>2023</c:v>
                </c:pt>
                <c:pt idx="2">
                  <c:v>2026</c:v>
                </c:pt>
                <c:pt idx="3">
                  <c:v>2027</c:v>
                </c:pt>
                <c:pt idx="4">
                  <c:v>2029</c:v>
                </c:pt>
              </c:numCache>
            </c:numRef>
          </c:xVal>
          <c:yVal>
            <c:numRef>
              <c:f>'RFP-Rev5Pct'!$N$30:$R$30</c:f>
              <c:numCache>
                <c:formatCode>0.000</c:formatCode>
                <c:ptCount val="5"/>
                <c:pt idx="0">
                  <c:v>15.707125886533547</c:v>
                </c:pt>
                <c:pt idx="1">
                  <c:v>14.908926625438301</c:v>
                </c:pt>
                <c:pt idx="2">
                  <c:v>14.766359547860596</c:v>
                </c:pt>
                <c:pt idx="3">
                  <c:v>14.856761948939468</c:v>
                </c:pt>
                <c:pt idx="4">
                  <c:v>15.038965962907451</c:v>
                </c:pt>
              </c:numCache>
            </c:numRef>
          </c:yVal>
          <c:smooth val="0"/>
          <c:extLst>
            <c:ext xmlns:c16="http://schemas.microsoft.com/office/drawing/2014/chart" uri="{C3380CC4-5D6E-409C-BE32-E72D297353CC}">
              <c16:uniqueId val="{00000001-09B1-4474-915E-B533A3E6F7EC}"/>
            </c:ext>
          </c:extLst>
        </c:ser>
        <c:dLbls>
          <c:showLegendKey val="0"/>
          <c:showVal val="0"/>
          <c:showCatName val="0"/>
          <c:showSerName val="0"/>
          <c:showPercent val="0"/>
          <c:showBubbleSize val="0"/>
        </c:dLbls>
        <c:axId val="436190143"/>
        <c:axId val="229906655"/>
      </c:scatterChart>
      <c:valAx>
        <c:axId val="436190143"/>
        <c:scaling>
          <c:orientation val="minMax"/>
          <c:max val="2029"/>
          <c:min val="20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majorUnit val="1"/>
      </c:valAx>
      <c:valAx>
        <c:axId val="229906655"/>
        <c:scaling>
          <c:orientation val="minMax"/>
          <c:max val="16"/>
          <c:min val="1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baseline="0">
                    <a:solidFill>
                      <a:schemeClr val="tx1"/>
                    </a:solidFill>
                  </a:rPr>
                  <a:t>SO</a:t>
                </a:r>
                <a:r>
                  <a:rPr lang="en-US" sz="1050" baseline="-25000">
                    <a:solidFill>
                      <a:schemeClr val="tx1"/>
                    </a:solidFill>
                  </a:rPr>
                  <a:t>2</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3006583552055997"/>
          <c:y val="0.17108113423806523"/>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'RFP-Rev5Pct'!$S$41:$T$41</c:f>
              <c:numCache>
                <c:formatCode>General</c:formatCode>
                <c:ptCount val="2"/>
                <c:pt idx="0">
                  <c:v>2020</c:v>
                </c:pt>
                <c:pt idx="1">
                  <c:v>2027</c:v>
                </c:pt>
              </c:numCache>
            </c:numRef>
          </c:xVal>
          <c:yVal>
            <c:numRef>
              <c:f>'RFP-Rev5Pct'!$S$49:$T$49</c:f>
              <c:numCache>
                <c:formatCode>0.000</c:formatCode>
                <c:ptCount val="2"/>
                <c:pt idx="0">
                  <c:v>0.28530343507711292</c:v>
                </c:pt>
                <c:pt idx="1">
                  <c:v>0.30982816458860718</c:v>
                </c:pt>
              </c:numCache>
            </c:numRef>
          </c:yVal>
          <c:smooth val="0"/>
          <c:extLst>
            <c:ext xmlns:c16="http://schemas.microsoft.com/office/drawing/2014/chart" uri="{C3380CC4-5D6E-409C-BE32-E72D297353CC}">
              <c16:uniqueId val="{00000000-D3CC-40DD-9538-69E663148051}"/>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'RFP-Rev5Pct'!$N$41:$R$41</c:f>
              <c:numCache>
                <c:formatCode>General</c:formatCode>
                <c:ptCount val="5"/>
                <c:pt idx="0">
                  <c:v>2020</c:v>
                </c:pt>
                <c:pt idx="1">
                  <c:v>2023</c:v>
                </c:pt>
                <c:pt idx="2">
                  <c:v>2026</c:v>
                </c:pt>
                <c:pt idx="3">
                  <c:v>2027</c:v>
                </c:pt>
                <c:pt idx="4">
                  <c:v>2029</c:v>
                </c:pt>
              </c:numCache>
            </c:numRef>
          </c:xVal>
          <c:yVal>
            <c:numRef>
              <c:f>'RFP-Rev5Pct'!$N$48:$R$48</c:f>
              <c:numCache>
                <c:formatCode>0.000</c:formatCode>
                <c:ptCount val="5"/>
                <c:pt idx="0">
                  <c:v>0.28530343507711292</c:v>
                </c:pt>
                <c:pt idx="1">
                  <c:v>0.30551945707671568</c:v>
                </c:pt>
                <c:pt idx="2">
                  <c:v>0.30915272027122626</c:v>
                </c:pt>
                <c:pt idx="3">
                  <c:v>0.30982816458860718</c:v>
                </c:pt>
                <c:pt idx="4">
                  <c:v>0.31357398411187282</c:v>
                </c:pt>
              </c:numCache>
            </c:numRef>
          </c:yVal>
          <c:smooth val="0"/>
          <c:extLst>
            <c:ext xmlns:c16="http://schemas.microsoft.com/office/drawing/2014/chart" uri="{C3380CC4-5D6E-409C-BE32-E72D297353CC}">
              <c16:uniqueId val="{00000001-D3CC-40DD-9538-69E663148051}"/>
            </c:ext>
          </c:extLst>
        </c:ser>
        <c:dLbls>
          <c:showLegendKey val="0"/>
          <c:showVal val="0"/>
          <c:showCatName val="0"/>
          <c:showSerName val="0"/>
          <c:showPercent val="0"/>
          <c:showBubbleSize val="0"/>
        </c:dLbls>
        <c:axId val="436190143"/>
        <c:axId val="229906655"/>
      </c:scatterChart>
      <c:valAx>
        <c:axId val="436190143"/>
        <c:scaling>
          <c:orientation val="minMax"/>
          <c:max val="2029"/>
          <c:min val="20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majorUnit val="1"/>
      </c:valAx>
      <c:valAx>
        <c:axId val="229906655"/>
        <c:scaling>
          <c:orientation val="minMax"/>
          <c:max val="0.32000000000000006"/>
          <c:min val="0.2800000000000000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NH</a:t>
                </a:r>
                <a:r>
                  <a:rPr lang="en-US" sz="1050" baseline="-25000">
                    <a:solidFill>
                      <a:schemeClr val="tx1"/>
                    </a:solidFill>
                  </a:rPr>
                  <a:t>3</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5506583552055988"/>
          <c:y val="0.53240740740740744"/>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tx2">
                  <a:lumMod val="40000"/>
                  <a:lumOff val="60000"/>
                </a:schemeClr>
              </a:solidFill>
              <a:ln>
                <a:solidFill>
                  <a:schemeClr val="tx1"/>
                </a:solidFill>
              </a:ln>
            </c:spPr>
            <c:extLst>
              <c:ext xmlns:c16="http://schemas.microsoft.com/office/drawing/2014/chart" uri="{C3380CC4-5D6E-409C-BE32-E72D297353CC}">
                <c16:uniqueId val="{00000001-09AB-42F1-9BB9-EF807E01B5CC}"/>
              </c:ext>
            </c:extLst>
          </c:dPt>
          <c:dPt>
            <c:idx val="1"/>
            <c:bubble3D val="0"/>
            <c:spPr>
              <a:solidFill>
                <a:schemeClr val="bg2">
                  <a:lumMod val="75000"/>
                </a:schemeClr>
              </a:solidFill>
              <a:ln>
                <a:solidFill>
                  <a:schemeClr val="tx1"/>
                </a:solidFill>
              </a:ln>
            </c:spPr>
            <c:extLst>
              <c:ext xmlns:c16="http://schemas.microsoft.com/office/drawing/2014/chart" uri="{C3380CC4-5D6E-409C-BE32-E72D297353CC}">
                <c16:uniqueId val="{00000003-09AB-42F1-9BB9-EF807E01B5CC}"/>
              </c:ext>
            </c:extLst>
          </c:dPt>
          <c:dPt>
            <c:idx val="3"/>
            <c:bubble3D val="0"/>
            <c:spPr>
              <a:solidFill>
                <a:schemeClr val="bg2">
                  <a:lumMod val="75000"/>
                </a:schemeClr>
              </a:solidFill>
              <a:ln>
                <a:solidFill>
                  <a:schemeClr val="tx1"/>
                </a:solidFill>
              </a:ln>
            </c:spPr>
            <c:extLst>
              <c:ext xmlns:c16="http://schemas.microsoft.com/office/drawing/2014/chart" uri="{C3380CC4-5D6E-409C-BE32-E72D297353CC}">
                <c16:uniqueId val="{00000007-09AB-42F1-9BB9-EF807E01B5CC}"/>
              </c:ext>
            </c:extLst>
          </c:dPt>
          <c:dPt>
            <c:idx val="5"/>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B-09AB-42F1-9BB9-EF807E01B5CC}"/>
              </c:ext>
            </c:extLst>
          </c:dPt>
          <c:dPt>
            <c:idx val="6"/>
            <c:bubble3D val="0"/>
            <c:spPr>
              <a:solidFill>
                <a:srgbClr val="FFFFCC"/>
              </a:solidFill>
              <a:ln>
                <a:solidFill>
                  <a:schemeClr val="tx1"/>
                </a:solidFill>
              </a:ln>
            </c:spPr>
            <c:extLst>
              <c:ext xmlns:c16="http://schemas.microsoft.com/office/drawing/2014/chart" uri="{C3380CC4-5D6E-409C-BE32-E72D297353CC}">
                <c16:uniqueId val="{0000000D-09AB-42F1-9BB9-EF807E01B5CC}"/>
              </c:ext>
            </c:extLst>
          </c:dPt>
          <c:dPt>
            <c:idx val="7"/>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E-09AB-42F1-9BB9-EF807E01B5CC}"/>
              </c:ext>
            </c:extLst>
          </c:dPt>
          <c:dPt>
            <c:idx val="8"/>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D-5E44-4039-BBF8-1BDACF775397}"/>
              </c:ext>
            </c:extLst>
          </c:dPt>
          <c:dLbls>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(SectorSum2020!$B$18,SectorSum2020!$B$20:$B$27)</c:f>
              <c:strCache>
                <c:ptCount val="9"/>
                <c:pt idx="0">
                  <c:v>Point</c:v>
                </c:pt>
                <c:pt idx="1">
                  <c:v>Area, Space Heat, Wood</c:v>
                </c:pt>
                <c:pt idx="2">
                  <c:v>Area, Space Heat, Oil</c:v>
                </c:pt>
                <c:pt idx="3">
                  <c:v>Area, Space Heat, Coal</c:v>
                </c:pt>
                <c:pt idx="4">
                  <c:v>Area, Space Heat, Other</c:v>
                </c:pt>
                <c:pt idx="5">
                  <c:v>Area, Other</c:v>
                </c:pt>
                <c:pt idx="6">
                  <c:v>Mobile, On-Road</c:v>
                </c:pt>
                <c:pt idx="7">
                  <c:v>Mobile, Aircraft</c:v>
                </c:pt>
                <c:pt idx="8">
                  <c:v>Mobile, Non-Road less aircraft</c:v>
                </c:pt>
              </c:strCache>
            </c:strRef>
          </c:cat>
          <c:val>
            <c:numRef>
              <c:f>(SectorSum2020!$H$18,SectorSum2020!$H$20:$H$27)</c:f>
              <c:numCache>
                <c:formatCode>0.0%</c:formatCode>
                <c:ptCount val="9"/>
                <c:pt idx="0">
                  <c:v>0.19625471106285133</c:v>
                </c:pt>
                <c:pt idx="1">
                  <c:v>0.64149779536983542</c:v>
                </c:pt>
                <c:pt idx="2">
                  <c:v>2.1522598229059591E-2</c:v>
                </c:pt>
                <c:pt idx="3">
                  <c:v>6.9093413255407994E-4</c:v>
                </c:pt>
                <c:pt idx="4">
                  <c:v>5.6311131803157503E-3</c:v>
                </c:pt>
                <c:pt idx="5">
                  <c:v>3.8681013769091749E-2</c:v>
                </c:pt>
                <c:pt idx="6">
                  <c:v>2.5045019790247126E-2</c:v>
                </c:pt>
                <c:pt idx="7">
                  <c:v>4.0225886050460409E-2</c:v>
                </c:pt>
                <c:pt idx="8">
                  <c:v>3.0485475122212315E-2</c:v>
                </c:pt>
              </c:numCache>
            </c:numRef>
          </c:val>
          <c:extLst>
            <c:ext xmlns:c16="http://schemas.microsoft.com/office/drawing/2014/chart" uri="{C3380CC4-5D6E-409C-BE32-E72D297353CC}">
              <c16:uniqueId val="{0000000F-09AB-42F1-9BB9-EF807E01B5CC}"/>
            </c:ext>
          </c:extLst>
        </c:ser>
        <c:dLbls>
          <c:showLegendKey val="0"/>
          <c:showVal val="0"/>
          <c:showCatName val="0"/>
          <c:showSerName val="0"/>
          <c:showPercent val="0"/>
          <c:showBubbleSize val="0"/>
          <c:showLeaderLines val="1"/>
        </c:dLbls>
        <c:firstSliceAng val="104"/>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tx2">
                  <a:lumMod val="40000"/>
                  <a:lumOff val="60000"/>
                </a:schemeClr>
              </a:solidFill>
              <a:ln>
                <a:solidFill>
                  <a:schemeClr val="tx1"/>
                </a:solidFill>
              </a:ln>
            </c:spPr>
            <c:extLst>
              <c:ext xmlns:c16="http://schemas.microsoft.com/office/drawing/2014/chart" uri="{C3380CC4-5D6E-409C-BE32-E72D297353CC}">
                <c16:uniqueId val="{00000001-A186-43AF-8956-74EEB0F71CE5}"/>
              </c:ext>
            </c:extLst>
          </c:dPt>
          <c:dPt>
            <c:idx val="1"/>
            <c:bubble3D val="0"/>
            <c:spPr>
              <a:solidFill>
                <a:schemeClr val="bg2">
                  <a:lumMod val="75000"/>
                </a:schemeClr>
              </a:solidFill>
              <a:ln>
                <a:solidFill>
                  <a:schemeClr val="tx1"/>
                </a:solidFill>
              </a:ln>
            </c:spPr>
            <c:extLst>
              <c:ext xmlns:c16="http://schemas.microsoft.com/office/drawing/2014/chart" uri="{C3380CC4-5D6E-409C-BE32-E72D297353CC}">
                <c16:uniqueId val="{00000003-A186-43AF-8956-74EEB0F71CE5}"/>
              </c:ext>
            </c:extLst>
          </c:dPt>
          <c:dPt>
            <c:idx val="3"/>
            <c:bubble3D val="0"/>
            <c:spPr>
              <a:solidFill>
                <a:schemeClr val="bg2">
                  <a:lumMod val="75000"/>
                </a:schemeClr>
              </a:solidFill>
              <a:ln>
                <a:solidFill>
                  <a:schemeClr val="tx1"/>
                </a:solidFill>
              </a:ln>
            </c:spPr>
            <c:extLst>
              <c:ext xmlns:c16="http://schemas.microsoft.com/office/drawing/2014/chart" uri="{C3380CC4-5D6E-409C-BE32-E72D297353CC}">
                <c16:uniqueId val="{00000007-A186-43AF-8956-74EEB0F71CE5}"/>
              </c:ext>
            </c:extLst>
          </c:dPt>
          <c:dPt>
            <c:idx val="5"/>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B-A186-43AF-8956-74EEB0F71CE5}"/>
              </c:ext>
            </c:extLst>
          </c:dPt>
          <c:dPt>
            <c:idx val="6"/>
            <c:bubble3D val="0"/>
            <c:spPr>
              <a:solidFill>
                <a:srgbClr val="FFFFCC"/>
              </a:solidFill>
              <a:ln>
                <a:solidFill>
                  <a:schemeClr val="tx1"/>
                </a:solidFill>
              </a:ln>
            </c:spPr>
            <c:extLst>
              <c:ext xmlns:c16="http://schemas.microsoft.com/office/drawing/2014/chart" uri="{C3380CC4-5D6E-409C-BE32-E72D297353CC}">
                <c16:uniqueId val="{0000000D-A186-43AF-8956-74EEB0F71CE5}"/>
              </c:ext>
            </c:extLst>
          </c:dPt>
          <c:dPt>
            <c:idx val="7"/>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E-A186-43AF-8956-74EEB0F71CE5}"/>
              </c:ext>
            </c:extLst>
          </c:dPt>
          <c:dPt>
            <c:idx val="8"/>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D-8D8C-4444-931B-E07AD98BEEAE}"/>
              </c:ext>
            </c:extLst>
          </c:dPt>
          <c:dLbls>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(SectorSum2020!$B$18,SectorSum2020!$B$20:$B$27)</c:f>
              <c:strCache>
                <c:ptCount val="9"/>
                <c:pt idx="0">
                  <c:v>Point</c:v>
                </c:pt>
                <c:pt idx="1">
                  <c:v>Area, Space Heat, Wood</c:v>
                </c:pt>
                <c:pt idx="2">
                  <c:v>Area, Space Heat, Oil</c:v>
                </c:pt>
                <c:pt idx="3">
                  <c:v>Area, Space Heat, Coal</c:v>
                </c:pt>
                <c:pt idx="4">
                  <c:v>Area, Space Heat, Other</c:v>
                </c:pt>
                <c:pt idx="5">
                  <c:v>Area, Other</c:v>
                </c:pt>
                <c:pt idx="6">
                  <c:v>Mobile, On-Road</c:v>
                </c:pt>
                <c:pt idx="7">
                  <c:v>Mobile, Aircraft</c:v>
                </c:pt>
                <c:pt idx="8">
                  <c:v>Mobile, Non-Road less aircraft</c:v>
                </c:pt>
              </c:strCache>
            </c:strRef>
          </c:cat>
          <c:val>
            <c:numRef>
              <c:f>(SectorSum2020!$I$18,SectorSum2020!$I$20:$I$27)</c:f>
              <c:numCache>
                <c:formatCode>0.0%</c:formatCode>
                <c:ptCount val="9"/>
                <c:pt idx="0">
                  <c:v>0.753739781411356</c:v>
                </c:pt>
                <c:pt idx="1">
                  <c:v>1.2872300107596117E-2</c:v>
                </c:pt>
                <c:pt idx="2">
                  <c:v>9.5601325755853325E-2</c:v>
                </c:pt>
                <c:pt idx="3">
                  <c:v>6.6811246233197848E-5</c:v>
                </c:pt>
                <c:pt idx="4">
                  <c:v>1.2126241191325408E-2</c:v>
                </c:pt>
                <c:pt idx="5">
                  <c:v>2.0094989595762124E-2</c:v>
                </c:pt>
                <c:pt idx="6">
                  <c:v>6.5481431509358257E-2</c:v>
                </c:pt>
                <c:pt idx="7">
                  <c:v>2.4135163065696536E-2</c:v>
                </c:pt>
                <c:pt idx="8">
                  <c:v>1.5887523720671967E-2</c:v>
                </c:pt>
              </c:numCache>
            </c:numRef>
          </c:val>
          <c:extLst>
            <c:ext xmlns:c16="http://schemas.microsoft.com/office/drawing/2014/chart" uri="{C3380CC4-5D6E-409C-BE32-E72D297353CC}">
              <c16:uniqueId val="{0000000F-A186-43AF-8956-74EEB0F71CE5}"/>
            </c:ext>
          </c:extLst>
        </c:ser>
        <c:dLbls>
          <c:showLegendKey val="0"/>
          <c:showVal val="0"/>
          <c:showCatName val="0"/>
          <c:showSerName val="0"/>
          <c:showPercent val="0"/>
          <c:showBubbleSize val="0"/>
          <c:showLeaderLines val="1"/>
        </c:dLbls>
        <c:firstSliceAng val="137"/>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tx2">
                  <a:lumMod val="40000"/>
                  <a:lumOff val="60000"/>
                </a:schemeClr>
              </a:solidFill>
              <a:ln>
                <a:solidFill>
                  <a:schemeClr val="tx1"/>
                </a:solidFill>
              </a:ln>
            </c:spPr>
            <c:extLst>
              <c:ext xmlns:c16="http://schemas.microsoft.com/office/drawing/2014/chart" uri="{C3380CC4-5D6E-409C-BE32-E72D297353CC}">
                <c16:uniqueId val="{00000001-7A99-4AA3-810E-3446F4770804}"/>
              </c:ext>
            </c:extLst>
          </c:dPt>
          <c:dPt>
            <c:idx val="3"/>
            <c:bubble3D val="0"/>
            <c:spPr>
              <a:solidFill>
                <a:schemeClr val="bg2">
                  <a:lumMod val="75000"/>
                </a:schemeClr>
              </a:solidFill>
              <a:ln>
                <a:solidFill>
                  <a:schemeClr val="tx1"/>
                </a:solidFill>
              </a:ln>
            </c:spPr>
            <c:extLst>
              <c:ext xmlns:c16="http://schemas.microsoft.com/office/drawing/2014/chart" uri="{C3380CC4-5D6E-409C-BE32-E72D297353CC}">
                <c16:uniqueId val="{00000007-7A99-4AA3-810E-3446F4770804}"/>
              </c:ext>
            </c:extLst>
          </c:dPt>
          <c:dPt>
            <c:idx val="5"/>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B-7A99-4AA3-810E-3446F4770804}"/>
              </c:ext>
            </c:extLst>
          </c:dPt>
          <c:dPt>
            <c:idx val="6"/>
            <c:bubble3D val="0"/>
            <c:spPr>
              <a:solidFill>
                <a:srgbClr val="FFFFCC"/>
              </a:solidFill>
              <a:ln>
                <a:solidFill>
                  <a:schemeClr val="tx1"/>
                </a:solidFill>
              </a:ln>
            </c:spPr>
            <c:extLst>
              <c:ext xmlns:c16="http://schemas.microsoft.com/office/drawing/2014/chart" uri="{C3380CC4-5D6E-409C-BE32-E72D297353CC}">
                <c16:uniqueId val="{0000000D-7A99-4AA3-810E-3446F4770804}"/>
              </c:ext>
            </c:extLst>
          </c:dPt>
          <c:dPt>
            <c:idx val="7"/>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E-7A99-4AA3-810E-3446F4770804}"/>
              </c:ext>
            </c:extLst>
          </c:dPt>
          <c:dPt>
            <c:idx val="8"/>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B-45B6-4961-8246-D5CB3D88A338}"/>
              </c:ext>
            </c:extLst>
          </c:dPt>
          <c:dLbls>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(SectorSum2020!$B$18,SectorSum2020!$B$20:$B$27)</c:f>
              <c:strCache>
                <c:ptCount val="9"/>
                <c:pt idx="0">
                  <c:v>Point</c:v>
                </c:pt>
                <c:pt idx="1">
                  <c:v>Area, Space Heat, Wood</c:v>
                </c:pt>
                <c:pt idx="2">
                  <c:v>Area, Space Heat, Oil</c:v>
                </c:pt>
                <c:pt idx="3">
                  <c:v>Area, Space Heat, Coal</c:v>
                </c:pt>
                <c:pt idx="4">
                  <c:v>Area, Space Heat, Other</c:v>
                </c:pt>
                <c:pt idx="5">
                  <c:v>Area, Other</c:v>
                </c:pt>
                <c:pt idx="6">
                  <c:v>Mobile, On-Road</c:v>
                </c:pt>
                <c:pt idx="7">
                  <c:v>Mobile, Aircraft</c:v>
                </c:pt>
                <c:pt idx="8">
                  <c:v>Mobile, Non-Road less aircraft</c:v>
                </c:pt>
              </c:strCache>
            </c:strRef>
          </c:cat>
          <c:val>
            <c:numRef>
              <c:f>(SectorSum2020!$J$18,SectorSum2020!$J$20:$J$27)</c:f>
              <c:numCache>
                <c:formatCode>0.0%</c:formatCode>
                <c:ptCount val="9"/>
                <c:pt idx="0">
                  <c:v>0.42190338039689174</c:v>
                </c:pt>
                <c:pt idx="1">
                  <c:v>2.5245720211264921E-3</c:v>
                </c:pt>
                <c:pt idx="2">
                  <c:v>0.22564537022574754</c:v>
                </c:pt>
                <c:pt idx="3">
                  <c:v>1.3781782745603681E-4</c:v>
                </c:pt>
                <c:pt idx="4">
                  <c:v>1.240360447104331E-3</c:v>
                </c:pt>
                <c:pt idx="5">
                  <c:v>1.8121328140917868E-3</c:v>
                </c:pt>
                <c:pt idx="6">
                  <c:v>1.747849360523245E-4</c:v>
                </c:pt>
                <c:pt idx="7">
                  <c:v>0.34640437180275885</c:v>
                </c:pt>
                <c:pt idx="8">
                  <c:v>1.4468063536588044E-4</c:v>
                </c:pt>
              </c:numCache>
            </c:numRef>
          </c:val>
          <c:extLst>
            <c:ext xmlns:c16="http://schemas.microsoft.com/office/drawing/2014/chart" uri="{C3380CC4-5D6E-409C-BE32-E72D297353CC}">
              <c16:uniqueId val="{0000000F-7A99-4AA3-810E-3446F4770804}"/>
            </c:ext>
          </c:extLst>
        </c:ser>
        <c:dLbls>
          <c:showLegendKey val="0"/>
          <c:showVal val="0"/>
          <c:showCatName val="0"/>
          <c:showSerName val="0"/>
          <c:showPercent val="0"/>
          <c:showBubbleSize val="0"/>
          <c:showLeaderLines val="1"/>
        </c:dLbls>
        <c:firstSliceAng val="211"/>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1"/>
            <c:bubble3D val="0"/>
            <c:spPr>
              <a:solidFill>
                <a:schemeClr val="bg2">
                  <a:lumMod val="75000"/>
                </a:schemeClr>
              </a:solidFill>
              <a:ln>
                <a:solidFill>
                  <a:schemeClr val="tx1"/>
                </a:solidFill>
              </a:ln>
            </c:spPr>
            <c:extLst>
              <c:ext xmlns:c16="http://schemas.microsoft.com/office/drawing/2014/chart" uri="{C3380CC4-5D6E-409C-BE32-E72D297353CC}">
                <c16:uniqueId val="{00000003-0A65-4EDF-B853-65534D63DC49}"/>
              </c:ext>
            </c:extLst>
          </c:dPt>
          <c:dPt>
            <c:idx val="3"/>
            <c:bubble3D val="0"/>
            <c:spPr>
              <a:solidFill>
                <a:schemeClr val="bg2">
                  <a:lumMod val="75000"/>
                </a:schemeClr>
              </a:solidFill>
              <a:ln>
                <a:solidFill>
                  <a:schemeClr val="tx1"/>
                </a:solidFill>
              </a:ln>
            </c:spPr>
            <c:extLst>
              <c:ext xmlns:c16="http://schemas.microsoft.com/office/drawing/2014/chart" uri="{C3380CC4-5D6E-409C-BE32-E72D297353CC}">
                <c16:uniqueId val="{00000007-0A65-4EDF-B853-65534D63DC49}"/>
              </c:ext>
            </c:extLst>
          </c:dPt>
          <c:dPt>
            <c:idx val="5"/>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B-0A65-4EDF-B853-65534D63DC49}"/>
              </c:ext>
            </c:extLst>
          </c:dPt>
          <c:dPt>
            <c:idx val="6"/>
            <c:bubble3D val="0"/>
            <c:spPr>
              <a:solidFill>
                <a:srgbClr val="FFFFCC"/>
              </a:solidFill>
              <a:ln>
                <a:solidFill>
                  <a:schemeClr val="tx1"/>
                </a:solidFill>
              </a:ln>
            </c:spPr>
            <c:extLst>
              <c:ext xmlns:c16="http://schemas.microsoft.com/office/drawing/2014/chart" uri="{C3380CC4-5D6E-409C-BE32-E72D297353CC}">
                <c16:uniqueId val="{0000000D-0A65-4EDF-B853-65534D63DC49}"/>
              </c:ext>
            </c:extLst>
          </c:dPt>
          <c:dPt>
            <c:idx val="7"/>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E-0A65-4EDF-B853-65534D63DC49}"/>
              </c:ext>
            </c:extLst>
          </c:dPt>
          <c:dPt>
            <c:idx val="8"/>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F-568D-4C4A-9ECF-C927C9163AA2}"/>
              </c:ext>
            </c:extLst>
          </c:dPt>
          <c:dLbls>
            <c:dLbl>
              <c:idx val="5"/>
              <c:layout>
                <c:manualLayout>
                  <c:x val="-0.15881780402449694"/>
                  <c:y val="9.73405689153720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A65-4EDF-B853-65534D63DC49}"/>
                </c:ext>
              </c:extLst>
            </c:dLbl>
            <c:dLbl>
              <c:idx val="8"/>
              <c:layout>
                <c:manualLayout>
                  <c:x val="1.9196194225721784E-3"/>
                  <c:y val="-0.139842164999645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68D-4C4A-9ECF-C927C9163AA2}"/>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(SectorSum2020!$B$18,SectorSum2020!$B$20:$B$27)</c:f>
              <c:strCache>
                <c:ptCount val="9"/>
                <c:pt idx="0">
                  <c:v>Point</c:v>
                </c:pt>
                <c:pt idx="1">
                  <c:v>Area, Space Heat, Wood</c:v>
                </c:pt>
                <c:pt idx="2">
                  <c:v>Area, Space Heat, Oil</c:v>
                </c:pt>
                <c:pt idx="3">
                  <c:v>Area, Space Heat, Coal</c:v>
                </c:pt>
                <c:pt idx="4">
                  <c:v>Area, Space Heat, Other</c:v>
                </c:pt>
                <c:pt idx="5">
                  <c:v>Area, Other</c:v>
                </c:pt>
                <c:pt idx="6">
                  <c:v>Mobile, On-Road</c:v>
                </c:pt>
                <c:pt idx="7">
                  <c:v>Mobile, Aircraft</c:v>
                </c:pt>
                <c:pt idx="8">
                  <c:v>Mobile, Non-Road less aircraft</c:v>
                </c:pt>
              </c:strCache>
            </c:strRef>
          </c:cat>
          <c:val>
            <c:numRef>
              <c:f>(SectorSum2020!$K$18,SectorSum2020!$K$20:$K$27)</c:f>
              <c:numCache>
                <c:formatCode>0.0%</c:formatCode>
                <c:ptCount val="9"/>
                <c:pt idx="0">
                  <c:v>2.9372529272398964E-3</c:v>
                </c:pt>
                <c:pt idx="1">
                  <c:v>0.50234196707522183</c:v>
                </c:pt>
                <c:pt idx="2">
                  <c:v>7.474756473076557E-3</c:v>
                </c:pt>
                <c:pt idx="3">
                  <c:v>1.7632758859565211E-4</c:v>
                </c:pt>
                <c:pt idx="4">
                  <c:v>8.5097227539640812E-4</c:v>
                </c:pt>
                <c:pt idx="5">
                  <c:v>0.16250628789166277</c:v>
                </c:pt>
                <c:pt idx="6">
                  <c:v>0.10917941346364159</c:v>
                </c:pt>
                <c:pt idx="7">
                  <c:v>1.1872499840409159E-2</c:v>
                </c:pt>
                <c:pt idx="8">
                  <c:v>0.20266052246475585</c:v>
                </c:pt>
              </c:numCache>
            </c:numRef>
          </c:val>
          <c:extLst>
            <c:ext xmlns:c16="http://schemas.microsoft.com/office/drawing/2014/chart" uri="{C3380CC4-5D6E-409C-BE32-E72D297353CC}">
              <c16:uniqueId val="{0000000F-0A65-4EDF-B853-65534D63DC49}"/>
            </c:ext>
          </c:extLst>
        </c:ser>
        <c:dLbls>
          <c:showLegendKey val="0"/>
          <c:showVal val="0"/>
          <c:showCatName val="0"/>
          <c:showSerName val="0"/>
          <c:showPercent val="0"/>
          <c:showBubbleSize val="0"/>
          <c:showLeaderLines val="1"/>
        </c:dLbls>
        <c:firstSliceAng val="217"/>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tx2">
                  <a:lumMod val="40000"/>
                  <a:lumOff val="60000"/>
                </a:schemeClr>
              </a:solidFill>
              <a:ln>
                <a:solidFill>
                  <a:schemeClr val="tx1"/>
                </a:solidFill>
              </a:ln>
            </c:spPr>
            <c:extLst>
              <c:ext xmlns:c16="http://schemas.microsoft.com/office/drawing/2014/chart" uri="{C3380CC4-5D6E-409C-BE32-E72D297353CC}">
                <c16:uniqueId val="{00000001-AA3A-4CD7-AE11-220A4C4B6F31}"/>
              </c:ext>
            </c:extLst>
          </c:dPt>
          <c:dPt>
            <c:idx val="1"/>
            <c:bubble3D val="0"/>
            <c:spPr>
              <a:solidFill>
                <a:schemeClr val="bg2">
                  <a:lumMod val="75000"/>
                </a:schemeClr>
              </a:solidFill>
              <a:ln>
                <a:solidFill>
                  <a:schemeClr val="tx1"/>
                </a:solidFill>
              </a:ln>
            </c:spPr>
            <c:extLst>
              <c:ext xmlns:c16="http://schemas.microsoft.com/office/drawing/2014/chart" uri="{C3380CC4-5D6E-409C-BE32-E72D297353CC}">
                <c16:uniqueId val="{00000003-AA3A-4CD7-AE11-220A4C4B6F31}"/>
              </c:ext>
            </c:extLst>
          </c:dPt>
          <c:dPt>
            <c:idx val="3"/>
            <c:bubble3D val="0"/>
            <c:spPr>
              <a:solidFill>
                <a:schemeClr val="bg2">
                  <a:lumMod val="75000"/>
                </a:schemeClr>
              </a:solidFill>
              <a:ln>
                <a:solidFill>
                  <a:schemeClr val="tx1"/>
                </a:solidFill>
              </a:ln>
            </c:spPr>
            <c:extLst>
              <c:ext xmlns:c16="http://schemas.microsoft.com/office/drawing/2014/chart" uri="{C3380CC4-5D6E-409C-BE32-E72D297353CC}">
                <c16:uniqueId val="{00000007-AA3A-4CD7-AE11-220A4C4B6F31}"/>
              </c:ext>
            </c:extLst>
          </c:dPt>
          <c:dPt>
            <c:idx val="5"/>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B-AA3A-4CD7-AE11-220A4C4B6F31}"/>
              </c:ext>
            </c:extLst>
          </c:dPt>
          <c:dPt>
            <c:idx val="6"/>
            <c:bubble3D val="0"/>
            <c:spPr>
              <a:solidFill>
                <a:srgbClr val="FFFFCC"/>
              </a:solidFill>
              <a:ln>
                <a:solidFill>
                  <a:schemeClr val="tx1"/>
                </a:solidFill>
              </a:ln>
            </c:spPr>
            <c:extLst>
              <c:ext xmlns:c16="http://schemas.microsoft.com/office/drawing/2014/chart" uri="{C3380CC4-5D6E-409C-BE32-E72D297353CC}">
                <c16:uniqueId val="{0000000D-AA3A-4CD7-AE11-220A4C4B6F31}"/>
              </c:ext>
            </c:extLst>
          </c:dPt>
          <c:dPt>
            <c:idx val="7"/>
            <c:bubble3D val="0"/>
            <c:spPr>
              <a:solidFill>
                <a:srgbClr val="C00000"/>
              </a:solidFill>
              <a:ln>
                <a:solidFill>
                  <a:schemeClr val="tx1"/>
                </a:solidFill>
              </a:ln>
            </c:spPr>
            <c:extLst>
              <c:ext xmlns:c16="http://schemas.microsoft.com/office/drawing/2014/chart" uri="{C3380CC4-5D6E-409C-BE32-E72D297353CC}">
                <c16:uniqueId val="{0000000E-AA3A-4CD7-AE11-220A4C4B6F31}"/>
              </c:ext>
            </c:extLst>
          </c:dPt>
          <c:dPt>
            <c:idx val="8"/>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D-C8D5-45DC-91F9-0948B180E7E0}"/>
              </c:ext>
            </c:extLst>
          </c:dPt>
          <c:dLbls>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(SectorSum2020!$B$18,SectorSum2020!$B$20:$B$27)</c:f>
              <c:strCache>
                <c:ptCount val="9"/>
                <c:pt idx="0">
                  <c:v>Point</c:v>
                </c:pt>
                <c:pt idx="1">
                  <c:v>Area, Space Heat, Wood</c:v>
                </c:pt>
                <c:pt idx="2">
                  <c:v>Area, Space Heat, Oil</c:v>
                </c:pt>
                <c:pt idx="3">
                  <c:v>Area, Space Heat, Coal</c:v>
                </c:pt>
                <c:pt idx="4">
                  <c:v>Area, Space Heat, Other</c:v>
                </c:pt>
                <c:pt idx="5">
                  <c:v>Area, Other</c:v>
                </c:pt>
                <c:pt idx="6">
                  <c:v>Mobile, On-Road</c:v>
                </c:pt>
                <c:pt idx="7">
                  <c:v>Mobile, Aircraft</c:v>
                </c:pt>
                <c:pt idx="8">
                  <c:v>Mobile, Non-Road less aircraft</c:v>
                </c:pt>
              </c:strCache>
            </c:strRef>
          </c:cat>
          <c:val>
            <c:numRef>
              <c:f>(SectorSum2020!$L$18,SectorSum2020!$L$20:$L$27)</c:f>
              <c:numCache>
                <c:formatCode>0.0%</c:formatCode>
                <c:ptCount val="9"/>
                <c:pt idx="0">
                  <c:v>0.30981479949206103</c:v>
                </c:pt>
                <c:pt idx="1">
                  <c:v>0.23378617920240632</c:v>
                </c:pt>
                <c:pt idx="2">
                  <c:v>1.1917136571037202E-2</c:v>
                </c:pt>
                <c:pt idx="3">
                  <c:v>1.0515120503856352E-3</c:v>
                </c:pt>
                <c:pt idx="4">
                  <c:v>0.13494404646615654</c:v>
                </c:pt>
                <c:pt idx="5">
                  <c:v>0.16393966276847116</c:v>
                </c:pt>
                <c:pt idx="6">
                  <c:v>0.13934755079238675</c:v>
                </c:pt>
                <c:pt idx="7">
                  <c:v>0</c:v>
                </c:pt>
                <c:pt idx="8">
                  <c:v>5.1991126570954472E-3</c:v>
                </c:pt>
              </c:numCache>
            </c:numRef>
          </c:val>
          <c:extLst>
            <c:ext xmlns:c16="http://schemas.microsoft.com/office/drawing/2014/chart" uri="{C3380CC4-5D6E-409C-BE32-E72D297353CC}">
              <c16:uniqueId val="{0000000F-AA3A-4CD7-AE11-220A4C4B6F31}"/>
            </c:ext>
          </c:extLst>
        </c:ser>
        <c:dLbls>
          <c:showLegendKey val="0"/>
          <c:showVal val="0"/>
          <c:showCatName val="0"/>
          <c:showSerName val="0"/>
          <c:showPercent val="0"/>
          <c:showBubbleSize val="0"/>
          <c:showLeaderLines val="1"/>
        </c:dLbls>
        <c:firstSliceAng val="211"/>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21</xdr:col>
      <xdr:colOff>160020</xdr:colOff>
      <xdr:row>3</xdr:row>
      <xdr:rowOff>0</xdr:rowOff>
    </xdr:from>
    <xdr:to>
      <xdr:col>28</xdr:col>
      <xdr:colOff>464820</xdr:colOff>
      <xdr:row>18</xdr:row>
      <xdr:rowOff>179070</xdr:rowOff>
    </xdr:to>
    <xdr:graphicFrame macro="">
      <xdr:nvGraphicFramePr>
        <xdr:cNvPr id="2" name="Chart 1">
          <a:extLst>
            <a:ext uri="{FF2B5EF4-FFF2-40B4-BE49-F238E27FC236}">
              <a16:creationId xmlns:a16="http://schemas.microsoft.com/office/drawing/2014/main" id="{8DA243F2-F9C2-4789-9EA4-8109802AC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160020</xdr:colOff>
      <xdr:row>21</xdr:row>
      <xdr:rowOff>179070</xdr:rowOff>
    </xdr:from>
    <xdr:to>
      <xdr:col>28</xdr:col>
      <xdr:colOff>464820</xdr:colOff>
      <xdr:row>37</xdr:row>
      <xdr:rowOff>179070</xdr:rowOff>
    </xdr:to>
    <xdr:graphicFrame macro="">
      <xdr:nvGraphicFramePr>
        <xdr:cNvPr id="3" name="Chart 2">
          <a:extLst>
            <a:ext uri="{FF2B5EF4-FFF2-40B4-BE49-F238E27FC236}">
              <a16:creationId xmlns:a16="http://schemas.microsoft.com/office/drawing/2014/main" id="{BBFD035F-1F2D-446B-81F9-D14655E261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160020</xdr:colOff>
      <xdr:row>40</xdr:row>
      <xdr:rowOff>179070</xdr:rowOff>
    </xdr:from>
    <xdr:to>
      <xdr:col>28</xdr:col>
      <xdr:colOff>464820</xdr:colOff>
      <xdr:row>56</xdr:row>
      <xdr:rowOff>179070</xdr:rowOff>
    </xdr:to>
    <xdr:graphicFrame macro="">
      <xdr:nvGraphicFramePr>
        <xdr:cNvPr id="4" name="Chart 3">
          <a:extLst>
            <a:ext uri="{FF2B5EF4-FFF2-40B4-BE49-F238E27FC236}">
              <a16:creationId xmlns:a16="http://schemas.microsoft.com/office/drawing/2014/main" id="{942C5901-0763-429F-868D-DEB74D501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152400</xdr:colOff>
      <xdr:row>16</xdr:row>
      <xdr:rowOff>22860</xdr:rowOff>
    </xdr:from>
    <xdr:to>
      <xdr:col>20</xdr:col>
      <xdr:colOff>457200</xdr:colOff>
      <xdr:row>31</xdr:row>
      <xdr:rowOff>99060</xdr:rowOff>
    </xdr:to>
    <xdr:graphicFrame macro="">
      <xdr:nvGraphicFramePr>
        <xdr:cNvPr id="2" name="Chart 1">
          <a:extLst>
            <a:ext uri="{FF2B5EF4-FFF2-40B4-BE49-F238E27FC236}">
              <a16:creationId xmlns:a16="http://schemas.microsoft.com/office/drawing/2014/main" id="{81106445-E0EF-40C1-A32C-71C7A72D5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152400</xdr:colOff>
      <xdr:row>16</xdr:row>
      <xdr:rowOff>22860</xdr:rowOff>
    </xdr:from>
    <xdr:to>
      <xdr:col>28</xdr:col>
      <xdr:colOff>457200</xdr:colOff>
      <xdr:row>31</xdr:row>
      <xdr:rowOff>99060</xdr:rowOff>
    </xdr:to>
    <xdr:graphicFrame macro="">
      <xdr:nvGraphicFramePr>
        <xdr:cNvPr id="3" name="Chart 6">
          <a:extLst>
            <a:ext uri="{FF2B5EF4-FFF2-40B4-BE49-F238E27FC236}">
              <a16:creationId xmlns:a16="http://schemas.microsoft.com/office/drawing/2014/main" id="{0E25EA03-387B-44E5-9102-E06CEE9B52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152400</xdr:colOff>
      <xdr:row>16</xdr:row>
      <xdr:rowOff>22860</xdr:rowOff>
    </xdr:from>
    <xdr:to>
      <xdr:col>36</xdr:col>
      <xdr:colOff>457200</xdr:colOff>
      <xdr:row>31</xdr:row>
      <xdr:rowOff>99060</xdr:rowOff>
    </xdr:to>
    <xdr:graphicFrame macro="">
      <xdr:nvGraphicFramePr>
        <xdr:cNvPr id="4" name="Chart 7">
          <a:extLst>
            <a:ext uri="{FF2B5EF4-FFF2-40B4-BE49-F238E27FC236}">
              <a16:creationId xmlns:a16="http://schemas.microsoft.com/office/drawing/2014/main" id="{4951717C-014E-46C7-81F5-891AB819C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152400</xdr:colOff>
      <xdr:row>16</xdr:row>
      <xdr:rowOff>22860</xdr:rowOff>
    </xdr:from>
    <xdr:to>
      <xdr:col>44</xdr:col>
      <xdr:colOff>457200</xdr:colOff>
      <xdr:row>31</xdr:row>
      <xdr:rowOff>99060</xdr:rowOff>
    </xdr:to>
    <xdr:graphicFrame macro="">
      <xdr:nvGraphicFramePr>
        <xdr:cNvPr id="5" name="Chart 8">
          <a:extLst>
            <a:ext uri="{FF2B5EF4-FFF2-40B4-BE49-F238E27FC236}">
              <a16:creationId xmlns:a16="http://schemas.microsoft.com/office/drawing/2014/main" id="{66289708-BC04-41A4-9BB0-250BC15D0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45</xdr:col>
      <xdr:colOff>152400</xdr:colOff>
      <xdr:row>16</xdr:row>
      <xdr:rowOff>22860</xdr:rowOff>
    </xdr:from>
    <xdr:to>
      <xdr:col>52</xdr:col>
      <xdr:colOff>457200</xdr:colOff>
      <xdr:row>31</xdr:row>
      <xdr:rowOff>99060</xdr:rowOff>
    </xdr:to>
    <xdr:graphicFrame macro="">
      <xdr:nvGraphicFramePr>
        <xdr:cNvPr id="6" name="Chart 9">
          <a:extLst>
            <a:ext uri="{FF2B5EF4-FFF2-40B4-BE49-F238E27FC236}">
              <a16:creationId xmlns:a16="http://schemas.microsoft.com/office/drawing/2014/main" id="{E02E5613-6967-4C91-B75A-E0EA2FB48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HSurvey"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HSurvey"/>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06BC7-4EC6-44BC-AA63-3810272C93EB}">
  <sheetPr codeName="Sheet1">
    <tabColor rgb="FFCCFFCC"/>
  </sheetPr>
  <dimension ref="A1:B14"/>
  <sheetViews>
    <sheetView workbookViewId="0">
      <pane ySplit="5" topLeftCell="A6" activePane="bottomLeft" state="frozen"/>
      <selection pane="bottomLeft" activeCell="A3" sqref="A3:B3"/>
    </sheetView>
  </sheetViews>
  <sheetFormatPr defaultRowHeight="15" x14ac:dyDescent="0.25"/>
  <cols>
    <col min="1" max="1" width="21.28515625" customWidth="1"/>
    <col min="2" max="2" width="127" customWidth="1"/>
  </cols>
  <sheetData>
    <row r="1" spans="1:2" ht="18.75" x14ac:dyDescent="0.3">
      <c r="A1" s="257" t="s">
        <v>301</v>
      </c>
      <c r="B1" s="257"/>
    </row>
    <row r="2" spans="1:2" ht="18.75" x14ac:dyDescent="0.3">
      <c r="A2" s="257" t="s">
        <v>288</v>
      </c>
      <c r="B2" s="257"/>
    </row>
    <row r="3" spans="1:2" ht="18.75" x14ac:dyDescent="0.3">
      <c r="A3" s="257" t="s">
        <v>326</v>
      </c>
      <c r="B3" s="257"/>
    </row>
    <row r="4" spans="1:2" x14ac:dyDescent="0.25">
      <c r="A4" s="258" t="s">
        <v>289</v>
      </c>
      <c r="B4" s="258"/>
    </row>
    <row r="5" spans="1:2" ht="15.75" thickBot="1" x14ac:dyDescent="0.3">
      <c r="A5" s="252" t="s">
        <v>290</v>
      </c>
      <c r="B5" s="252" t="s">
        <v>291</v>
      </c>
    </row>
    <row r="6" spans="1:2" ht="45.75" thickTop="1" x14ac:dyDescent="0.25">
      <c r="A6" s="253" t="s">
        <v>302</v>
      </c>
      <c r="B6" s="254" t="s">
        <v>304</v>
      </c>
    </row>
    <row r="7" spans="1:2" ht="43.15" customHeight="1" x14ac:dyDescent="0.25">
      <c r="A7" s="253" t="s">
        <v>303</v>
      </c>
      <c r="B7" s="254" t="s">
        <v>305</v>
      </c>
    </row>
    <row r="8" spans="1:2" ht="30" x14ac:dyDescent="0.25">
      <c r="A8" s="253" t="s">
        <v>292</v>
      </c>
      <c r="B8" s="254" t="s">
        <v>306</v>
      </c>
    </row>
    <row r="9" spans="1:2" ht="45" x14ac:dyDescent="0.25">
      <c r="A9" s="253" t="s">
        <v>307</v>
      </c>
      <c r="B9" s="254" t="s">
        <v>308</v>
      </c>
    </row>
    <row r="10" spans="1:2" ht="30" x14ac:dyDescent="0.25">
      <c r="A10" s="253" t="s">
        <v>293</v>
      </c>
      <c r="B10" s="254" t="s">
        <v>294</v>
      </c>
    </row>
    <row r="11" spans="1:2" ht="45" x14ac:dyDescent="0.25">
      <c r="A11" s="253" t="s">
        <v>295</v>
      </c>
      <c r="B11" s="254" t="s">
        <v>296</v>
      </c>
    </row>
    <row r="12" spans="1:2" ht="30" x14ac:dyDescent="0.25">
      <c r="A12" s="253" t="s">
        <v>297</v>
      </c>
      <c r="B12" s="254" t="s">
        <v>309</v>
      </c>
    </row>
    <row r="13" spans="1:2" ht="45" x14ac:dyDescent="0.25">
      <c r="A13" s="253" t="s">
        <v>298</v>
      </c>
      <c r="B13" s="254" t="s">
        <v>299</v>
      </c>
    </row>
    <row r="14" spans="1:2" ht="30" x14ac:dyDescent="0.25">
      <c r="A14" s="253" t="s">
        <v>300</v>
      </c>
      <c r="B14" s="254" t="s">
        <v>310</v>
      </c>
    </row>
  </sheetData>
  <sheetProtection algorithmName="SHA-512" hashValue="k5Wmk0XzMMbATgCYBYjWq2lLO5F/nj5aBkNeluSV0K7bzCKcPpcmp3CRCJSWyy2j2UOXvUWnhTbU337zbT5FmA==" saltValue="heH4vLT1XnUreEWDLEUWiA==" spinCount="100000" sheet="1" objects="1" scenarios="1"/>
  <mergeCells count="4">
    <mergeCell ref="A1:B1"/>
    <mergeCell ref="A2:B2"/>
    <mergeCell ref="A3:B3"/>
    <mergeCell ref="A4:B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2A42-68C6-4ABC-B4BA-C923F4D5586F}">
  <sheetPr codeName="Sheet10"/>
  <dimension ref="A1:S54"/>
  <sheetViews>
    <sheetView workbookViewId="0">
      <selection sqref="A1:N1"/>
    </sheetView>
  </sheetViews>
  <sheetFormatPr defaultRowHeight="15" x14ac:dyDescent="0.25"/>
  <cols>
    <col min="1" max="1" width="10.42578125" customWidth="1"/>
    <col min="2" max="2" width="21.28515625" customWidth="1"/>
    <col min="3" max="3" width="13.42578125" customWidth="1"/>
    <col min="4" max="4" width="35.140625" customWidth="1"/>
    <col min="5" max="14" width="9.7109375" customWidth="1"/>
    <col min="15" max="15" width="12.85546875" customWidth="1"/>
  </cols>
  <sheetData>
    <row r="1" spans="1:14" ht="15.75" x14ac:dyDescent="0.25">
      <c r="A1" s="281" t="s">
        <v>167</v>
      </c>
      <c r="B1" s="281"/>
      <c r="C1" s="281"/>
      <c r="D1" s="281"/>
      <c r="E1" s="281"/>
      <c r="F1" s="281"/>
      <c r="G1" s="281"/>
      <c r="H1" s="281"/>
      <c r="I1" s="281"/>
      <c r="J1" s="281"/>
      <c r="K1" s="281"/>
      <c r="L1" s="281"/>
      <c r="M1" s="281"/>
      <c r="N1" s="281"/>
    </row>
    <row r="2" spans="1:14" x14ac:dyDescent="0.25">
      <c r="A2" s="258" t="s">
        <v>260</v>
      </c>
      <c r="B2" s="258"/>
      <c r="C2" s="258"/>
      <c r="D2" s="258"/>
      <c r="E2" s="258"/>
      <c r="F2" s="258"/>
      <c r="G2" s="258"/>
      <c r="H2" s="258"/>
      <c r="I2" s="258"/>
      <c r="J2" s="258"/>
      <c r="K2" s="258"/>
      <c r="L2" s="258"/>
      <c r="M2" s="258"/>
      <c r="N2" s="258"/>
    </row>
    <row r="4" spans="1:14" x14ac:dyDescent="0.25">
      <c r="A4" s="12" t="s">
        <v>20</v>
      </c>
      <c r="B4" s="13"/>
      <c r="C4" s="12"/>
      <c r="D4" s="12" t="s">
        <v>21</v>
      </c>
      <c r="E4" s="267" t="s">
        <v>22</v>
      </c>
      <c r="F4" s="268"/>
      <c r="G4" s="268"/>
      <c r="H4" s="268"/>
      <c r="I4" s="268"/>
      <c r="J4" s="268"/>
      <c r="K4" s="268"/>
      <c r="L4" s="268"/>
      <c r="M4" s="268"/>
      <c r="N4" s="269"/>
    </row>
    <row r="5" spans="1:14" x14ac:dyDescent="0.25">
      <c r="A5" s="11" t="s">
        <v>23</v>
      </c>
      <c r="B5" s="11" t="s">
        <v>24</v>
      </c>
      <c r="C5" s="11" t="s">
        <v>25</v>
      </c>
      <c r="D5" s="11" t="s">
        <v>26</v>
      </c>
      <c r="E5" s="10">
        <v>2020</v>
      </c>
      <c r="F5" s="9">
        <v>2021</v>
      </c>
      <c r="G5" s="9">
        <v>2022</v>
      </c>
      <c r="H5" s="10">
        <v>2023</v>
      </c>
      <c r="I5" s="9">
        <v>2024</v>
      </c>
      <c r="J5" s="9">
        <v>2025</v>
      </c>
      <c r="K5" s="10">
        <v>2026</v>
      </c>
      <c r="L5" s="9">
        <v>2027</v>
      </c>
      <c r="M5" s="9">
        <v>2028</v>
      </c>
      <c r="N5" s="10">
        <v>2029</v>
      </c>
    </row>
    <row r="6" spans="1:14" x14ac:dyDescent="0.25">
      <c r="A6" s="14" t="s">
        <v>27</v>
      </c>
      <c r="B6" s="14" t="s">
        <v>28</v>
      </c>
      <c r="C6" s="14" t="s">
        <v>29</v>
      </c>
      <c r="D6" s="14" t="s">
        <v>60</v>
      </c>
      <c r="E6" s="16">
        <v>2791</v>
      </c>
      <c r="F6" s="15">
        <v>3055</v>
      </c>
      <c r="G6" s="15">
        <v>3267</v>
      </c>
      <c r="H6" s="16">
        <v>3576</v>
      </c>
      <c r="I6" s="15">
        <v>3974</v>
      </c>
      <c r="J6" s="15">
        <v>4524</v>
      </c>
      <c r="K6" s="16">
        <v>5078</v>
      </c>
      <c r="L6" s="15">
        <v>5628</v>
      </c>
      <c r="M6" s="15">
        <v>5778</v>
      </c>
      <c r="N6" s="16">
        <v>5937</v>
      </c>
    </row>
    <row r="7" spans="1:14" x14ac:dyDescent="0.25">
      <c r="A7" s="14" t="s">
        <v>44</v>
      </c>
      <c r="B7" s="14" t="s">
        <v>45</v>
      </c>
      <c r="C7" s="18" t="s">
        <v>46</v>
      </c>
      <c r="D7" s="14" t="s">
        <v>47</v>
      </c>
      <c r="E7" s="19">
        <v>0.3</v>
      </c>
      <c r="F7" s="20">
        <v>0.32700000000000001</v>
      </c>
      <c r="G7" s="20">
        <v>0.38100000000000001</v>
      </c>
      <c r="H7" s="19">
        <v>0.38100000000000001</v>
      </c>
      <c r="I7" s="20">
        <v>0.38100000000000001</v>
      </c>
      <c r="J7" s="20">
        <v>0.38100000000000001</v>
      </c>
      <c r="K7" s="19">
        <v>0.38100000000000001</v>
      </c>
      <c r="L7" s="20">
        <v>0.38100000000000001</v>
      </c>
      <c r="M7" s="20">
        <v>0.38100000000000001</v>
      </c>
      <c r="N7" s="19">
        <v>0.38100000000000001</v>
      </c>
    </row>
    <row r="8" spans="1:14" x14ac:dyDescent="0.25">
      <c r="A8" s="14" t="s">
        <v>30</v>
      </c>
      <c r="B8" s="14" t="s">
        <v>31</v>
      </c>
      <c r="C8" s="17">
        <v>2023</v>
      </c>
      <c r="D8" s="14" t="s">
        <v>32</v>
      </c>
      <c r="E8" s="19" t="s">
        <v>168</v>
      </c>
      <c r="F8" s="20" t="s">
        <v>168</v>
      </c>
      <c r="G8" s="20" t="s">
        <v>168</v>
      </c>
      <c r="H8" s="178">
        <v>0.72479956365112663</v>
      </c>
      <c r="I8" s="179">
        <v>0.95</v>
      </c>
      <c r="J8" s="179">
        <v>0.95</v>
      </c>
      <c r="K8" s="178">
        <v>0.95</v>
      </c>
      <c r="L8" s="179">
        <v>0.95</v>
      </c>
      <c r="M8" s="179">
        <v>0.95</v>
      </c>
      <c r="N8" s="178">
        <v>0.95</v>
      </c>
    </row>
    <row r="9" spans="1:14" x14ac:dyDescent="0.25">
      <c r="A9" s="14" t="s">
        <v>33</v>
      </c>
      <c r="B9" s="14" t="s">
        <v>34</v>
      </c>
      <c r="C9" s="17">
        <v>2022</v>
      </c>
      <c r="D9" s="14" t="s">
        <v>32</v>
      </c>
      <c r="E9" s="19" t="s">
        <v>168</v>
      </c>
      <c r="F9" s="20" t="s">
        <v>168</v>
      </c>
      <c r="G9" s="179">
        <v>0.4</v>
      </c>
      <c r="H9" s="179">
        <v>0.4</v>
      </c>
      <c r="I9" s="179">
        <v>0.45</v>
      </c>
      <c r="J9" s="179">
        <v>0.45</v>
      </c>
      <c r="K9" s="178">
        <v>0.45</v>
      </c>
      <c r="L9" s="179">
        <v>0.5</v>
      </c>
      <c r="M9" s="179">
        <v>0.5</v>
      </c>
      <c r="N9" s="178">
        <v>0.5</v>
      </c>
    </row>
    <row r="10" spans="1:14" x14ac:dyDescent="0.25">
      <c r="A10" s="14" t="s">
        <v>35</v>
      </c>
      <c r="B10" s="14" t="s">
        <v>36</v>
      </c>
      <c r="C10" s="17">
        <v>2024</v>
      </c>
      <c r="D10" s="14" t="s">
        <v>32</v>
      </c>
      <c r="E10" s="179">
        <v>0</v>
      </c>
      <c r="F10" s="179">
        <v>0.05</v>
      </c>
      <c r="G10" s="20">
        <v>0.15</v>
      </c>
      <c r="H10" s="19">
        <v>0.3</v>
      </c>
      <c r="I10" s="179">
        <v>0.3</v>
      </c>
      <c r="J10" s="179">
        <v>0.3</v>
      </c>
      <c r="K10" s="178">
        <v>0.3</v>
      </c>
      <c r="L10" s="179">
        <v>0.3</v>
      </c>
      <c r="M10" s="179">
        <v>0.3</v>
      </c>
      <c r="N10" s="178">
        <v>0.3</v>
      </c>
    </row>
    <row r="11" spans="1:14" x14ac:dyDescent="0.25">
      <c r="A11" s="14" t="s">
        <v>61</v>
      </c>
      <c r="B11" s="14" t="s">
        <v>37</v>
      </c>
      <c r="C11" s="17">
        <v>2020</v>
      </c>
      <c r="D11" s="14" t="s">
        <v>32</v>
      </c>
      <c r="E11" s="178">
        <v>0.22</v>
      </c>
      <c r="F11" s="179">
        <v>0.25</v>
      </c>
      <c r="G11" s="179">
        <v>0.3</v>
      </c>
      <c r="H11" s="178">
        <v>0.35</v>
      </c>
      <c r="I11" s="179">
        <v>0.35</v>
      </c>
      <c r="J11" s="179">
        <v>0.35</v>
      </c>
      <c r="K11" s="178">
        <v>0.35</v>
      </c>
      <c r="L11" s="179">
        <v>0.35</v>
      </c>
      <c r="M11" s="179">
        <v>0.35</v>
      </c>
      <c r="N11" s="178">
        <v>0.35</v>
      </c>
    </row>
    <row r="12" spans="1:14" x14ac:dyDescent="0.25">
      <c r="A12" s="14" t="s">
        <v>38</v>
      </c>
      <c r="B12" s="14" t="s">
        <v>39</v>
      </c>
      <c r="C12" s="17">
        <v>2024</v>
      </c>
      <c r="D12" s="14" t="s">
        <v>32</v>
      </c>
      <c r="E12" s="19" t="s">
        <v>168</v>
      </c>
      <c r="F12" s="20" t="s">
        <v>168</v>
      </c>
      <c r="G12" s="20" t="s">
        <v>168</v>
      </c>
      <c r="H12" s="178" t="s">
        <v>168</v>
      </c>
      <c r="I12" s="179">
        <v>0.25</v>
      </c>
      <c r="J12" s="179">
        <v>0.25</v>
      </c>
      <c r="K12" s="178">
        <v>0.25</v>
      </c>
      <c r="L12" s="179">
        <v>0.25</v>
      </c>
      <c r="M12" s="179">
        <v>0.25</v>
      </c>
      <c r="N12" s="178">
        <v>0.25</v>
      </c>
    </row>
    <row r="13" spans="1:14" x14ac:dyDescent="0.25">
      <c r="A13" s="14" t="s">
        <v>40</v>
      </c>
      <c r="B13" s="14" t="s">
        <v>41</v>
      </c>
      <c r="C13" s="17">
        <v>2020</v>
      </c>
      <c r="D13" s="14" t="s">
        <v>32</v>
      </c>
      <c r="E13" s="180" t="s">
        <v>256</v>
      </c>
      <c r="F13" s="180" t="s">
        <v>256</v>
      </c>
      <c r="G13" s="180" t="s">
        <v>256</v>
      </c>
      <c r="H13" s="180" t="s">
        <v>256</v>
      </c>
      <c r="I13" s="180" t="s">
        <v>257</v>
      </c>
      <c r="J13" s="180" t="s">
        <v>257</v>
      </c>
      <c r="K13" s="180" t="s">
        <v>257</v>
      </c>
      <c r="L13" s="180" t="s">
        <v>257</v>
      </c>
      <c r="M13" s="180" t="s">
        <v>257</v>
      </c>
      <c r="N13" s="180" t="s">
        <v>257</v>
      </c>
    </row>
    <row r="14" spans="1:14" x14ac:dyDescent="0.25">
      <c r="A14" s="14" t="s">
        <v>42</v>
      </c>
      <c r="B14" s="14" t="s">
        <v>43</v>
      </c>
      <c r="C14" s="17">
        <v>2020</v>
      </c>
      <c r="D14" s="14" t="s">
        <v>32</v>
      </c>
      <c r="E14" s="19">
        <v>0</v>
      </c>
      <c r="F14" s="20">
        <v>0.1</v>
      </c>
      <c r="G14" s="20">
        <v>0.1</v>
      </c>
      <c r="H14" s="178">
        <v>0.3</v>
      </c>
      <c r="I14" s="20">
        <v>0.3</v>
      </c>
      <c r="J14" s="20">
        <v>0.3</v>
      </c>
      <c r="K14" s="178">
        <v>0.5</v>
      </c>
      <c r="L14" s="179">
        <v>0.5</v>
      </c>
      <c r="M14" s="179">
        <v>0.5</v>
      </c>
      <c r="N14" s="178">
        <v>0.5</v>
      </c>
    </row>
    <row r="16" spans="1:14" x14ac:dyDescent="0.25">
      <c r="A16" s="21" t="s">
        <v>48</v>
      </c>
    </row>
    <row r="17" spans="1:19" x14ac:dyDescent="0.25">
      <c r="A17" s="22" t="s">
        <v>49</v>
      </c>
      <c r="B17" t="s">
        <v>50</v>
      </c>
    </row>
    <row r="18" spans="1:19" x14ac:dyDescent="0.25">
      <c r="A18" s="22" t="s">
        <v>51</v>
      </c>
      <c r="B18" t="s">
        <v>52</v>
      </c>
    </row>
    <row r="19" spans="1:19" x14ac:dyDescent="0.25">
      <c r="A19" s="22" t="s">
        <v>53</v>
      </c>
      <c r="B19" t="s">
        <v>54</v>
      </c>
    </row>
    <row r="22" spans="1:19" ht="15.75" x14ac:dyDescent="0.25">
      <c r="A22" s="281" t="s">
        <v>55</v>
      </c>
      <c r="B22" s="281"/>
      <c r="C22" s="281"/>
      <c r="D22" s="281"/>
      <c r="E22" s="281"/>
      <c r="F22" s="281"/>
      <c r="G22" s="281"/>
      <c r="H22" s="281"/>
      <c r="I22" s="281"/>
      <c r="J22" s="281"/>
      <c r="K22" s="281"/>
      <c r="L22" s="281"/>
      <c r="M22" s="281"/>
      <c r="N22" s="281"/>
      <c r="Q22" s="260" t="s">
        <v>279</v>
      </c>
      <c r="R22" s="260"/>
      <c r="S22" s="114"/>
    </row>
    <row r="23" spans="1:19" x14ac:dyDescent="0.25">
      <c r="Q23" s="260" t="s">
        <v>280</v>
      </c>
      <c r="R23" s="260"/>
      <c r="S23" s="114"/>
    </row>
    <row r="24" spans="1:19" x14ac:dyDescent="0.25">
      <c r="C24" s="12" t="s">
        <v>20</v>
      </c>
      <c r="D24" s="13"/>
      <c r="E24" s="267" t="s">
        <v>15</v>
      </c>
      <c r="F24" s="268"/>
      <c r="G24" s="268"/>
      <c r="H24" s="268"/>
      <c r="I24" s="268"/>
      <c r="J24" s="268"/>
      <c r="K24" s="268"/>
      <c r="L24" s="268"/>
      <c r="M24" s="268"/>
      <c r="N24" s="269"/>
      <c r="O24" s="12" t="s">
        <v>20</v>
      </c>
      <c r="P24" s="282" t="s">
        <v>281</v>
      </c>
      <c r="Q24" s="282"/>
      <c r="R24" s="282"/>
      <c r="S24" s="282"/>
    </row>
    <row r="25" spans="1:19" x14ac:dyDescent="0.25">
      <c r="C25" s="11" t="s">
        <v>23</v>
      </c>
      <c r="D25" s="11" t="s">
        <v>24</v>
      </c>
      <c r="E25" s="10">
        <v>2020</v>
      </c>
      <c r="F25" s="9">
        <v>2021</v>
      </c>
      <c r="G25" s="9">
        <v>2022</v>
      </c>
      <c r="H25" s="10">
        <v>2023</v>
      </c>
      <c r="I25" s="9">
        <v>2024</v>
      </c>
      <c r="J25" s="9">
        <v>2025</v>
      </c>
      <c r="K25" s="10">
        <v>2026</v>
      </c>
      <c r="L25" s="9">
        <v>2027</v>
      </c>
      <c r="M25" s="9">
        <v>2028</v>
      </c>
      <c r="N25" s="10">
        <v>2029</v>
      </c>
      <c r="O25" s="11" t="s">
        <v>23</v>
      </c>
      <c r="P25" s="244">
        <v>2023</v>
      </c>
      <c r="Q25" s="244">
        <v>2026</v>
      </c>
      <c r="R25" s="245">
        <v>2027</v>
      </c>
      <c r="S25" s="244">
        <v>2029</v>
      </c>
    </row>
    <row r="26" spans="1:19" x14ac:dyDescent="0.25">
      <c r="C26" s="23" t="s">
        <v>56</v>
      </c>
      <c r="D26" s="23" t="s">
        <v>57</v>
      </c>
      <c r="E26" s="25">
        <v>1.6212891647564509</v>
      </c>
      <c r="F26" s="24">
        <v>1.6044066386902414</v>
      </c>
      <c r="G26" s="24">
        <v>1.7343121805026691</v>
      </c>
      <c r="H26" s="25">
        <v>1.9121065588400987</v>
      </c>
      <c r="I26" s="24">
        <v>1.9636789000172428</v>
      </c>
      <c r="J26" s="24">
        <v>1.9799954129284263</v>
      </c>
      <c r="K26" s="25">
        <v>1.9687521671836781</v>
      </c>
      <c r="L26" s="24">
        <v>1.9596037350505831</v>
      </c>
      <c r="M26" s="24">
        <v>1.9722612716726859</v>
      </c>
      <c r="N26" s="25">
        <v>1.9849233545471485</v>
      </c>
      <c r="O26" s="23"/>
      <c r="P26" s="4"/>
      <c r="S26" s="246"/>
    </row>
    <row r="27" spans="1:19" x14ac:dyDescent="0.25">
      <c r="C27" s="14" t="s">
        <v>27</v>
      </c>
      <c r="D27" s="14" t="s">
        <v>28</v>
      </c>
      <c r="E27" s="25">
        <v>0.34238249777797336</v>
      </c>
      <c r="F27" s="24">
        <v>0.18790995733364921</v>
      </c>
      <c r="G27" s="24">
        <v>8.2565853485049301E-2</v>
      </c>
      <c r="H27" s="25">
        <v>0</v>
      </c>
      <c r="I27" s="24">
        <v>-0.16108205574623113</v>
      </c>
      <c r="J27" s="24">
        <v>-0.36841060934362541</v>
      </c>
      <c r="K27" s="25">
        <v>-0.56272827638156619</v>
      </c>
      <c r="L27" s="24">
        <v>-0.74535431242070127</v>
      </c>
      <c r="M27" s="24">
        <v>-0.80684118252544068</v>
      </c>
      <c r="N27" s="25">
        <v>-0.87164416122291843</v>
      </c>
      <c r="O27" s="14" t="s">
        <v>27</v>
      </c>
      <c r="P27" s="247">
        <v>0.34238249777797336</v>
      </c>
      <c r="Q27" s="247">
        <v>0.90511077415953956</v>
      </c>
      <c r="R27" s="247">
        <v>1.0877368101986746</v>
      </c>
      <c r="S27" s="247">
        <v>1.2140266590008917</v>
      </c>
    </row>
    <row r="28" spans="1:19" x14ac:dyDescent="0.25">
      <c r="C28" s="14" t="s">
        <v>44</v>
      </c>
      <c r="D28" s="14" t="s">
        <v>45</v>
      </c>
      <c r="E28" s="25">
        <v>1.9002717044755757E-2</v>
      </c>
      <c r="F28" s="24">
        <v>1.2396370076366514E-2</v>
      </c>
      <c r="G28" s="24">
        <v>0</v>
      </c>
      <c r="H28" s="25">
        <v>0</v>
      </c>
      <c r="I28" s="24">
        <v>0</v>
      </c>
      <c r="J28" s="24">
        <v>-2.2204460492503131E-16</v>
      </c>
      <c r="K28" s="25">
        <v>-3.3306690738754696E-16</v>
      </c>
      <c r="L28" s="24">
        <v>-1.1102230246251565E-16</v>
      </c>
      <c r="M28" s="24">
        <v>0</v>
      </c>
      <c r="N28" s="25">
        <v>1.1102230246251565E-16</v>
      </c>
      <c r="O28" s="14" t="s">
        <v>282</v>
      </c>
      <c r="P28" s="247">
        <v>1.9072676979161211E-2</v>
      </c>
      <c r="Q28" s="247">
        <v>1.9072676979161211E-2</v>
      </c>
      <c r="R28" s="247">
        <v>1.9072676979161211E-2</v>
      </c>
      <c r="S28" s="247">
        <v>1.9072676979161211E-2</v>
      </c>
    </row>
    <row r="29" spans="1:19" x14ac:dyDescent="0.25">
      <c r="C29" s="14" t="s">
        <v>30</v>
      </c>
      <c r="D29" s="14" t="s">
        <v>31</v>
      </c>
      <c r="E29" s="25"/>
      <c r="F29" s="24"/>
      <c r="G29" s="24"/>
      <c r="H29" s="24">
        <v>-1.3346749406460624E-2</v>
      </c>
      <c r="I29" s="24">
        <v>-1.6122049097638144E-2</v>
      </c>
      <c r="J29" s="24">
        <v>-1.5517168026625795E-2</v>
      </c>
      <c r="K29" s="25">
        <v>-1.5324547067721935E-2</v>
      </c>
      <c r="L29" s="24">
        <v>-1.5186392539770876E-2</v>
      </c>
      <c r="M29" s="24">
        <v>-1.5116653563753045E-2</v>
      </c>
      <c r="N29" s="25">
        <v>-1.5048341149106741E-2</v>
      </c>
      <c r="O29" s="14" t="s">
        <v>283</v>
      </c>
      <c r="P29" s="247">
        <v>0.12395928753966223</v>
      </c>
      <c r="Q29" s="247">
        <v>0.12395928753966223</v>
      </c>
      <c r="R29" s="247">
        <v>0.12395928753966223</v>
      </c>
      <c r="S29" s="247">
        <v>0.12395928753966223</v>
      </c>
    </row>
    <row r="30" spans="1:19" x14ac:dyDescent="0.25">
      <c r="C30" s="14" t="s">
        <v>33</v>
      </c>
      <c r="D30" s="14" t="s">
        <v>34</v>
      </c>
      <c r="E30" s="25"/>
      <c r="F30" s="24"/>
      <c r="G30" s="24">
        <v>-5.5198181226677738E-2</v>
      </c>
      <c r="H30" s="24">
        <v>-5.7487775081650039E-2</v>
      </c>
      <c r="I30" s="24">
        <v>-6.1843579596984839E-2</v>
      </c>
      <c r="J30" s="24">
        <v>-5.9622454253401E-2</v>
      </c>
      <c r="K30" s="25">
        <v>-5.7503736607007513E-2</v>
      </c>
      <c r="L30" s="24">
        <v>-6.1956483338371476E-2</v>
      </c>
      <c r="M30" s="24">
        <v>-6.1636642507857935E-2</v>
      </c>
      <c r="N30" s="25">
        <v>-6.1323451161273017E-2</v>
      </c>
      <c r="O30" s="14" t="s">
        <v>30</v>
      </c>
      <c r="P30" s="247">
        <v>1.3346749406460624E-2</v>
      </c>
      <c r="Q30" s="247">
        <v>1.5324547067721935E-2</v>
      </c>
      <c r="R30" s="247">
        <v>1.5186392539770876E-2</v>
      </c>
      <c r="S30" s="247">
        <v>1.5048341149106741E-2</v>
      </c>
    </row>
    <row r="31" spans="1:19" x14ac:dyDescent="0.25">
      <c r="C31" s="14" t="s">
        <v>35</v>
      </c>
      <c r="D31" s="14" t="s">
        <v>36</v>
      </c>
      <c r="E31" s="24">
        <v>0</v>
      </c>
      <c r="F31" s="24">
        <v>-4.2382591820499867E-2</v>
      </c>
      <c r="G31" s="24">
        <v>-0.14420718397911692</v>
      </c>
      <c r="H31" s="24">
        <v>-0.29762487372993296</v>
      </c>
      <c r="I31" s="24">
        <v>-0.28253767125123869</v>
      </c>
      <c r="J31" s="24">
        <v>-0.27061586151994665</v>
      </c>
      <c r="K31" s="25">
        <v>-0.25947266585191331</v>
      </c>
      <c r="L31" s="24">
        <v>-0.25160733557415166</v>
      </c>
      <c r="M31" s="24">
        <v>-0.25030818559050738</v>
      </c>
      <c r="N31" s="25">
        <v>-0.24903604727537107</v>
      </c>
      <c r="O31" s="14" t="s">
        <v>33</v>
      </c>
      <c r="P31" s="247">
        <v>5.7487775081650039E-2</v>
      </c>
      <c r="Q31" s="247">
        <v>5.7503736607007513E-2</v>
      </c>
      <c r="R31" s="247">
        <v>6.1956483338371476E-2</v>
      </c>
      <c r="S31" s="247">
        <v>6.1323451161273017E-2</v>
      </c>
    </row>
    <row r="32" spans="1:19" x14ac:dyDescent="0.25">
      <c r="C32" s="14" t="s">
        <v>61</v>
      </c>
      <c r="D32" s="14" t="s">
        <v>37</v>
      </c>
      <c r="E32" s="24">
        <v>-9.0688684018263317E-3</v>
      </c>
      <c r="F32" s="24">
        <v>-1.9232070280650156E-2</v>
      </c>
      <c r="G32" s="24">
        <v>-3.9424250255158028E-2</v>
      </c>
      <c r="H32" s="24">
        <v>-6.3541603380784198E-2</v>
      </c>
      <c r="I32" s="24">
        <v>-7.5419374595460331E-2</v>
      </c>
      <c r="J32" s="24">
        <v>-8.6703174331384816E-2</v>
      </c>
      <c r="K32" s="25">
        <v>-9.7006804695872376E-2</v>
      </c>
      <c r="L32" s="24">
        <v>-0.10750370325930622</v>
      </c>
      <c r="M32" s="24">
        <v>-0.120317167162786</v>
      </c>
      <c r="N32" s="25">
        <v>-0.13300628096884307</v>
      </c>
      <c r="O32" s="14" t="s">
        <v>35</v>
      </c>
      <c r="P32" s="247">
        <v>0.29762487372993296</v>
      </c>
      <c r="Q32" s="247">
        <v>0.25947266585191331</v>
      </c>
      <c r="R32" s="247">
        <v>0.25160733557415166</v>
      </c>
      <c r="S32" s="247">
        <v>0.24903604727537107</v>
      </c>
    </row>
    <row r="33" spans="3:19" x14ac:dyDescent="0.25">
      <c r="C33" s="14" t="s">
        <v>38</v>
      </c>
      <c r="D33" s="14" t="s">
        <v>39</v>
      </c>
      <c r="E33" s="25"/>
      <c r="F33" s="24"/>
      <c r="G33" s="24"/>
      <c r="H33" s="25"/>
      <c r="I33" s="24">
        <v>-3.7429509457542976E-4</v>
      </c>
      <c r="J33" s="24">
        <v>-3.6048808448602794E-4</v>
      </c>
      <c r="K33" s="25">
        <v>-3.5219463868106491E-4</v>
      </c>
      <c r="L33" s="24">
        <v>-3.4556007180662317E-4</v>
      </c>
      <c r="M33" s="24">
        <v>-3.4376221570065098E-4</v>
      </c>
      <c r="N33" s="25">
        <v>-3.4200186136085377E-4</v>
      </c>
      <c r="O33" s="14" t="s">
        <v>61</v>
      </c>
      <c r="P33" s="247">
        <v>5.4472734978957868E-2</v>
      </c>
      <c r="Q33" s="247">
        <v>8.7937936294046046E-2</v>
      </c>
      <c r="R33" s="247">
        <v>9.8434834857479891E-2</v>
      </c>
      <c r="S33" s="247">
        <v>0.12393741256701674</v>
      </c>
    </row>
    <row r="34" spans="3:19" x14ac:dyDescent="0.25">
      <c r="C34" s="14" t="s">
        <v>40</v>
      </c>
      <c r="D34" s="14" t="s">
        <v>41</v>
      </c>
      <c r="E34" s="24">
        <v>0</v>
      </c>
      <c r="F34" s="24">
        <v>0</v>
      </c>
      <c r="G34" s="24">
        <v>0</v>
      </c>
      <c r="H34" s="24">
        <v>0</v>
      </c>
      <c r="I34" s="24">
        <v>-3.2646003447787522E-2</v>
      </c>
      <c r="J34" s="24">
        <v>-3.4596833516253783E-2</v>
      </c>
      <c r="K34" s="25">
        <v>-3.6388244549334335E-2</v>
      </c>
      <c r="L34" s="24">
        <v>-3.8188734698202241E-2</v>
      </c>
      <c r="M34" s="24">
        <v>-4.0880631647407378E-2</v>
      </c>
      <c r="N34" s="25">
        <v>-4.3547274693674032E-2</v>
      </c>
      <c r="O34" s="14" t="s">
        <v>38</v>
      </c>
      <c r="P34" s="247">
        <v>0</v>
      </c>
      <c r="Q34" s="247">
        <v>3.5219463868106491E-4</v>
      </c>
      <c r="R34" s="247">
        <v>3.4556007180662317E-4</v>
      </c>
      <c r="S34" s="247">
        <v>3.4200186136085377E-4</v>
      </c>
    </row>
    <row r="35" spans="3:19" x14ac:dyDescent="0.25">
      <c r="C35" s="14" t="s">
        <v>42</v>
      </c>
      <c r="D35" s="14" t="s">
        <v>43</v>
      </c>
      <c r="E35" s="24">
        <v>0</v>
      </c>
      <c r="F35" s="24">
        <v>-9.5946573820738097E-5</v>
      </c>
      <c r="G35" s="24">
        <v>-1.1448360167589667E-4</v>
      </c>
      <c r="H35" s="24">
        <v>-3.7111558122101266E-4</v>
      </c>
      <c r="I35" s="24">
        <v>-3.5856208018349557E-4</v>
      </c>
      <c r="J35" s="24">
        <v>-3.4886394921560763E-4</v>
      </c>
      <c r="K35" s="25">
        <v>-5.6534874464959776E-4</v>
      </c>
      <c r="L35" s="24">
        <v>-5.482251396600942E-4</v>
      </c>
      <c r="M35" s="24">
        <v>-5.4539577136893396E-4</v>
      </c>
      <c r="N35" s="25">
        <v>-5.4262521881144469E-4</v>
      </c>
      <c r="O35" s="14" t="s">
        <v>40</v>
      </c>
      <c r="P35" s="247">
        <v>0</v>
      </c>
      <c r="Q35" s="247">
        <v>3.6388244549334335E-2</v>
      </c>
      <c r="R35" s="247">
        <v>3.8188734698202241E-2</v>
      </c>
      <c r="S35" s="247">
        <v>4.3547274693674032E-2</v>
      </c>
    </row>
    <row r="36" spans="3:19" x14ac:dyDescent="0.25">
      <c r="O36" s="14" t="s">
        <v>42</v>
      </c>
      <c r="P36" s="247">
        <v>3.7111558122101266E-4</v>
      </c>
      <c r="Q36" s="247">
        <v>5.6534874464959776E-4</v>
      </c>
      <c r="R36" s="247">
        <v>5.482251396600942E-4</v>
      </c>
      <c r="S36" s="247">
        <v>5.4262521881144469E-4</v>
      </c>
    </row>
    <row r="37" spans="3:19" x14ac:dyDescent="0.25">
      <c r="C37" s="280" t="s">
        <v>58</v>
      </c>
      <c r="D37" s="280"/>
      <c r="E37" s="29">
        <v>1.9736055111773538</v>
      </c>
      <c r="F37" s="28">
        <v>1.7430023574252862</v>
      </c>
      <c r="G37" s="28">
        <v>1.5779339349250898</v>
      </c>
      <c r="H37" s="29">
        <v>1.47973444166005</v>
      </c>
      <c r="I37" s="28">
        <v>1.3332953091071429</v>
      </c>
      <c r="J37" s="28">
        <v>1.1438199599034871</v>
      </c>
      <c r="K37" s="29">
        <v>0.9394103486469314</v>
      </c>
      <c r="L37" s="28">
        <v>0.73891298800861249</v>
      </c>
      <c r="M37" s="28">
        <v>0.6762716506878641</v>
      </c>
      <c r="N37" s="29">
        <v>0.61043317099578998</v>
      </c>
      <c r="O37" s="248" t="s">
        <v>284</v>
      </c>
      <c r="P37" s="249">
        <v>0.45529893273094901</v>
      </c>
      <c r="Q37" s="249">
        <v>1.0522686340876466</v>
      </c>
      <c r="R37" s="249">
        <v>1.2436175625928707</v>
      </c>
      <c r="S37" s="249">
        <v>1.3974169991022587</v>
      </c>
    </row>
    <row r="38" spans="3:19" x14ac:dyDescent="0.25">
      <c r="F38" s="242">
        <v>0.1168435902950542</v>
      </c>
      <c r="G38" s="242">
        <v>0.20048159270503163</v>
      </c>
      <c r="H38" s="242">
        <v>0.25023798662919483</v>
      </c>
      <c r="I38" s="242">
        <v>0.32443677241670954</v>
      </c>
      <c r="J38" s="242">
        <v>0.42044144413584372</v>
      </c>
      <c r="K38" s="242">
        <v>0.52401311035733456</v>
      </c>
      <c r="L38" s="242">
        <v>0.62560249055657824</v>
      </c>
      <c r="M38" s="242">
        <v>0.65734203372565858</v>
      </c>
      <c r="N38" s="242">
        <v>0.69070152695731157</v>
      </c>
      <c r="O38" s="248" t="s">
        <v>285</v>
      </c>
      <c r="P38" s="249">
        <v>0.58220222338776884</v>
      </c>
      <c r="Q38" s="249">
        <v>1.1791719247444665</v>
      </c>
      <c r="R38" s="249">
        <v>1.3705208532496906</v>
      </c>
      <c r="S38" s="249">
        <v>1.5243202897590786</v>
      </c>
    </row>
    <row r="39" spans="3:19" x14ac:dyDescent="0.25">
      <c r="F39" s="242"/>
      <c r="G39" s="242"/>
      <c r="H39" s="242"/>
      <c r="I39" s="242"/>
      <c r="J39" s="242"/>
      <c r="K39" s="243">
        <f>$E37-K37</f>
        <v>1.0341951625304224</v>
      </c>
      <c r="L39" s="243">
        <f>$E37-L37</f>
        <v>1.2346925231687413</v>
      </c>
      <c r="M39" s="242"/>
      <c r="N39" s="242"/>
    </row>
    <row r="40" spans="3:19" x14ac:dyDescent="0.25">
      <c r="C40" s="12" t="s">
        <v>20</v>
      </c>
      <c r="D40" s="13"/>
      <c r="E40" s="267" t="s">
        <v>59</v>
      </c>
      <c r="F40" s="268"/>
      <c r="G40" s="268"/>
      <c r="H40" s="268"/>
      <c r="I40" s="268"/>
      <c r="J40" s="268"/>
      <c r="K40" s="268"/>
      <c r="L40" s="268"/>
      <c r="M40" s="268"/>
      <c r="N40" s="269"/>
      <c r="O40" s="12" t="s">
        <v>20</v>
      </c>
      <c r="P40" s="282" t="s">
        <v>286</v>
      </c>
      <c r="Q40" s="282"/>
      <c r="R40" s="282"/>
      <c r="S40" s="282"/>
    </row>
    <row r="41" spans="3:19" x14ac:dyDescent="0.25">
      <c r="C41" s="11" t="s">
        <v>23</v>
      </c>
      <c r="D41" s="11" t="s">
        <v>24</v>
      </c>
      <c r="E41" s="10">
        <v>2020</v>
      </c>
      <c r="F41" s="9">
        <v>2021</v>
      </c>
      <c r="G41" s="9">
        <v>2022</v>
      </c>
      <c r="H41" s="10">
        <v>2023</v>
      </c>
      <c r="I41" s="9">
        <v>2024</v>
      </c>
      <c r="J41" s="9">
        <v>2025</v>
      </c>
      <c r="K41" s="10">
        <v>2026</v>
      </c>
      <c r="L41" s="9">
        <v>2027</v>
      </c>
      <c r="M41" s="9">
        <v>2028</v>
      </c>
      <c r="N41" s="10">
        <v>2029</v>
      </c>
      <c r="O41" s="11" t="s">
        <v>23</v>
      </c>
      <c r="P41" s="244">
        <v>2023</v>
      </c>
      <c r="Q41" s="244">
        <v>2026</v>
      </c>
      <c r="R41" s="245">
        <v>2027</v>
      </c>
      <c r="S41" s="244">
        <v>2029</v>
      </c>
    </row>
    <row r="42" spans="3:19" x14ac:dyDescent="0.25">
      <c r="C42" s="23" t="s">
        <v>56</v>
      </c>
      <c r="D42" s="23" t="s">
        <v>57</v>
      </c>
      <c r="E42" s="25">
        <v>3.5788643807579326</v>
      </c>
      <c r="F42" s="24">
        <v>3.6927306933331332</v>
      </c>
      <c r="G42" s="24">
        <v>3.7085947818369922</v>
      </c>
      <c r="H42" s="25">
        <v>3.6908614425105819</v>
      </c>
      <c r="I42" s="24">
        <v>3.7072559865866856</v>
      </c>
      <c r="J42" s="24">
        <v>3.7337521996938596</v>
      </c>
      <c r="K42" s="25">
        <v>3.7644877739156657</v>
      </c>
      <c r="L42" s="24">
        <v>3.7954496727049931</v>
      </c>
      <c r="M42" s="24">
        <v>3.8206130636430045</v>
      </c>
      <c r="N42" s="25">
        <v>3.8457854451830564</v>
      </c>
      <c r="O42" s="23"/>
      <c r="P42" s="4"/>
      <c r="S42" s="246"/>
    </row>
    <row r="43" spans="3:19" x14ac:dyDescent="0.25">
      <c r="C43" s="23" t="s">
        <v>27</v>
      </c>
      <c r="D43" s="23" t="s">
        <v>28</v>
      </c>
      <c r="E43" s="25">
        <v>2.9642132856148799E-2</v>
      </c>
      <c r="F43" s="24">
        <v>2.2738290839472788E-2</v>
      </c>
      <c r="G43" s="24">
        <v>1.9978094455059381E-2</v>
      </c>
      <c r="H43" s="25">
        <v>0</v>
      </c>
      <c r="I43" s="24">
        <v>-1.6036999564886602E-2</v>
      </c>
      <c r="J43" s="24">
        <v>-3.825380378645242E-2</v>
      </c>
      <c r="K43" s="25">
        <v>-6.0866734862389256E-2</v>
      </c>
      <c r="L43" s="24">
        <v>-8.3267132179765849E-2</v>
      </c>
      <c r="M43" s="24">
        <v>-0.10014289630168816</v>
      </c>
      <c r="N43" s="25">
        <v>-0.11805341102504621</v>
      </c>
      <c r="O43" s="14" t="s">
        <v>27</v>
      </c>
      <c r="P43" s="247">
        <v>2.9642132856148799E-2</v>
      </c>
      <c r="Q43" s="247">
        <v>9.0508867718538055E-2</v>
      </c>
      <c r="R43" s="247">
        <v>0.11290926503591464</v>
      </c>
      <c r="S43" s="247">
        <v>0.14769554388119502</v>
      </c>
    </row>
    <row r="44" spans="3:19" x14ac:dyDescent="0.25">
      <c r="C44" s="23" t="s">
        <v>44</v>
      </c>
      <c r="D44" s="23" t="s">
        <v>45</v>
      </c>
      <c r="E44" s="25">
        <v>-2.644939712394212E-3</v>
      </c>
      <c r="F44" s="24">
        <v>-2.0171062234140003E-3</v>
      </c>
      <c r="G44" s="24">
        <v>4.4408920985006262E-16</v>
      </c>
      <c r="H44" s="25">
        <v>4.4408920985006262E-16</v>
      </c>
      <c r="I44" s="24">
        <v>2.2204460492503131E-16</v>
      </c>
      <c r="J44" s="24">
        <v>2.2204460492503131E-16</v>
      </c>
      <c r="K44" s="25">
        <v>0</v>
      </c>
      <c r="L44" s="24">
        <v>0</v>
      </c>
      <c r="M44" s="24">
        <v>-4.4408920985006262E-16</v>
      </c>
      <c r="N44" s="25">
        <v>0</v>
      </c>
      <c r="O44" s="14" t="s">
        <v>282</v>
      </c>
      <c r="P44" s="247">
        <v>-4.5362093832134395E-3</v>
      </c>
      <c r="Q44" s="247">
        <v>-4.5362093832134395E-3</v>
      </c>
      <c r="R44" s="247">
        <v>-4.5362093832134395E-3</v>
      </c>
      <c r="S44" s="247">
        <v>-4.5362093832134395E-3</v>
      </c>
    </row>
    <row r="45" spans="3:19" x14ac:dyDescent="0.25">
      <c r="C45" s="23" t="s">
        <v>30</v>
      </c>
      <c r="D45" s="23" t="s">
        <v>31</v>
      </c>
      <c r="E45" s="27"/>
      <c r="F45" s="26"/>
      <c r="G45" s="26"/>
      <c r="H45" s="24">
        <v>-1.3187988011897902</v>
      </c>
      <c r="I45" s="24">
        <v>-1.726757680999754</v>
      </c>
      <c r="J45" s="24">
        <v>-1.7272471962037033</v>
      </c>
      <c r="K45" s="25">
        <v>-1.7304704173904402</v>
      </c>
      <c r="L45" s="24">
        <v>-1.7340327743513353</v>
      </c>
      <c r="M45" s="24">
        <v>-1.7370608761600002</v>
      </c>
      <c r="N45" s="25">
        <v>-1.7396541173796212</v>
      </c>
      <c r="O45" s="14" t="s">
        <v>283</v>
      </c>
      <c r="P45" s="247">
        <v>-1.9128859714382104E-2</v>
      </c>
      <c r="Q45" s="247">
        <v>-1.9128859714382104E-2</v>
      </c>
      <c r="R45" s="247">
        <v>-1.9128859714382104E-2</v>
      </c>
      <c r="S45" s="247">
        <v>-1.9128859714382104E-2</v>
      </c>
    </row>
    <row r="46" spans="3:19" x14ac:dyDescent="0.25">
      <c r="C46" s="23" t="s">
        <v>33</v>
      </c>
      <c r="D46" s="23" t="s">
        <v>34</v>
      </c>
      <c r="E46" s="27"/>
      <c r="F46" s="26"/>
      <c r="G46" s="26">
        <v>-1.5115580669701103E-3</v>
      </c>
      <c r="H46" s="27">
        <v>-1.6680521660060821E-3</v>
      </c>
      <c r="I46" s="24">
        <v>-1.9240939771795655E-3</v>
      </c>
      <c r="J46" s="24">
        <v>-1.9308526791010944E-3</v>
      </c>
      <c r="K46" s="25">
        <v>-1.9092377355922859E-3</v>
      </c>
      <c r="L46" s="24">
        <v>-2.0970596489007097E-3</v>
      </c>
      <c r="M46" s="24">
        <v>-2.1008316608882439E-3</v>
      </c>
      <c r="N46" s="25">
        <v>-2.1040760959865428E-3</v>
      </c>
      <c r="O46" s="14" t="s">
        <v>30</v>
      </c>
      <c r="P46" s="247">
        <v>1.3187988011897902</v>
      </c>
      <c r="Q46" s="247">
        <v>1.7304704173904402</v>
      </c>
      <c r="R46" s="247">
        <v>1.7340327743513353</v>
      </c>
      <c r="S46" s="247">
        <v>1.7396541173796212</v>
      </c>
    </row>
    <row r="47" spans="3:19" x14ac:dyDescent="0.25">
      <c r="C47" s="23" t="s">
        <v>35</v>
      </c>
      <c r="D47" s="23" t="s">
        <v>36</v>
      </c>
      <c r="E47" s="24">
        <v>0</v>
      </c>
      <c r="F47" s="24">
        <v>9.8713158779062003E-4</v>
      </c>
      <c r="G47" s="24">
        <v>2.864669605351419E-3</v>
      </c>
      <c r="H47" s="24">
        <v>5.2396798387112399E-3</v>
      </c>
      <c r="I47" s="24">
        <v>5.1949180667601857E-3</v>
      </c>
      <c r="J47" s="24">
        <v>5.2577296440727119E-3</v>
      </c>
      <c r="K47" s="25">
        <v>5.3968762178150621E-3</v>
      </c>
      <c r="L47" s="24">
        <v>5.4704744103933976E-3</v>
      </c>
      <c r="M47" s="24">
        <v>5.4799374561293511E-3</v>
      </c>
      <c r="N47" s="25">
        <v>5.4880304904969058E-3</v>
      </c>
      <c r="O47" s="14" t="s">
        <v>33</v>
      </c>
      <c r="P47" s="247">
        <v>1.6680521660060821E-3</v>
      </c>
      <c r="Q47" s="247">
        <v>1.9092377355922859E-3</v>
      </c>
      <c r="R47" s="247">
        <v>2.0970596489007097E-3</v>
      </c>
      <c r="S47" s="247">
        <v>2.1040760959865428E-3</v>
      </c>
    </row>
    <row r="48" spans="3:19" x14ac:dyDescent="0.25">
      <c r="C48" s="23" t="s">
        <v>61</v>
      </c>
      <c r="D48" s="23" t="s">
        <v>37</v>
      </c>
      <c r="E48" s="24">
        <v>-1.2911860540623039E-4</v>
      </c>
      <c r="F48" s="24">
        <v>-2.8301246414576031E-4</v>
      </c>
      <c r="G48" s="24">
        <v>-5.4464151106648471E-4</v>
      </c>
      <c r="H48" s="24">
        <v>-9.1466256944174951E-4</v>
      </c>
      <c r="I48" s="24">
        <v>-1.1481642716642002E-3</v>
      </c>
      <c r="J48" s="24">
        <v>-1.3567952617546486E-3</v>
      </c>
      <c r="K48" s="25">
        <v>-1.5386904294958025E-3</v>
      </c>
      <c r="L48" s="24">
        <v>-1.7383171319869182E-3</v>
      </c>
      <c r="M48" s="24">
        <v>-1.9591217273360459E-3</v>
      </c>
      <c r="N48" s="25">
        <v>-2.180160816042226E-3</v>
      </c>
      <c r="O48" s="14" t="s">
        <v>35</v>
      </c>
      <c r="P48" s="247">
        <v>-5.2396798387112399E-3</v>
      </c>
      <c r="Q48" s="247">
        <v>-5.3968762178150621E-3</v>
      </c>
      <c r="R48" s="247">
        <v>-5.4704744103933976E-3</v>
      </c>
      <c r="S48" s="247">
        <v>-5.4880304904969058E-3</v>
      </c>
    </row>
    <row r="49" spans="3:19" x14ac:dyDescent="0.25">
      <c r="C49" s="23" t="s">
        <v>38</v>
      </c>
      <c r="D49" s="23" t="s">
        <v>39</v>
      </c>
      <c r="E49" s="27"/>
      <c r="F49" s="26"/>
      <c r="G49" s="26"/>
      <c r="H49" s="27"/>
      <c r="I49" s="24">
        <v>-4.0116976093823668E-4</v>
      </c>
      <c r="J49" s="24">
        <v>-4.015083965666457E-4</v>
      </c>
      <c r="K49" s="25">
        <v>-4.0136368313004359E-4</v>
      </c>
      <c r="L49" s="24">
        <v>-4.0127484454193771E-4</v>
      </c>
      <c r="M49" s="24">
        <v>-4.0198057588737454E-4</v>
      </c>
      <c r="N49" s="25">
        <v>-4.0258562084160231E-4</v>
      </c>
      <c r="O49" s="14" t="s">
        <v>61</v>
      </c>
      <c r="P49" s="247">
        <v>7.8554396403551915E-4</v>
      </c>
      <c r="Q49" s="247">
        <v>1.4095718240895721E-3</v>
      </c>
      <c r="R49" s="247">
        <v>1.6091985265806877E-3</v>
      </c>
      <c r="S49" s="247">
        <v>2.0510422106359955E-3</v>
      </c>
    </row>
    <row r="50" spans="3:19" x14ac:dyDescent="0.25">
      <c r="C50" s="23" t="s">
        <v>40</v>
      </c>
      <c r="D50" s="23" t="s">
        <v>41</v>
      </c>
      <c r="E50" s="24">
        <v>0</v>
      </c>
      <c r="F50" s="24">
        <v>0</v>
      </c>
      <c r="G50" s="24">
        <v>0</v>
      </c>
      <c r="H50" s="24">
        <v>0</v>
      </c>
      <c r="I50" s="24">
        <v>4.6197809687380427E-4</v>
      </c>
      <c r="J50" s="24">
        <v>6.3591502234958716E-4</v>
      </c>
      <c r="K50" s="25">
        <v>8.2900843366936951E-4</v>
      </c>
      <c r="L50" s="24">
        <v>1.0262137840247724E-3</v>
      </c>
      <c r="M50" s="24">
        <v>1.2085139404592045E-3</v>
      </c>
      <c r="N50" s="25">
        <v>1.3910940663606872E-3</v>
      </c>
      <c r="O50" s="14" t="s">
        <v>38</v>
      </c>
      <c r="P50" s="247">
        <v>0</v>
      </c>
      <c r="Q50" s="247">
        <v>4.0136368313004359E-4</v>
      </c>
      <c r="R50" s="247">
        <v>4.0127484454193771E-4</v>
      </c>
      <c r="S50" s="247">
        <v>4.0258562084160231E-4</v>
      </c>
    </row>
    <row r="51" spans="3:19" x14ac:dyDescent="0.25">
      <c r="C51" s="23" t="s">
        <v>42</v>
      </c>
      <c r="D51" s="23" t="s">
        <v>43</v>
      </c>
      <c r="E51" s="27">
        <v>0</v>
      </c>
      <c r="F51" s="26">
        <v>0</v>
      </c>
      <c r="G51" s="26">
        <v>0</v>
      </c>
      <c r="H51" s="27">
        <v>0</v>
      </c>
      <c r="I51" s="24">
        <v>0</v>
      </c>
      <c r="J51" s="24">
        <v>0</v>
      </c>
      <c r="K51" s="25">
        <v>0</v>
      </c>
      <c r="L51" s="24">
        <v>0</v>
      </c>
      <c r="M51" s="24">
        <v>0</v>
      </c>
      <c r="N51" s="25">
        <v>0</v>
      </c>
      <c r="O51" s="14" t="s">
        <v>40</v>
      </c>
      <c r="P51" s="247">
        <v>0</v>
      </c>
      <c r="Q51" s="247">
        <v>-8.2900843366936951E-4</v>
      </c>
      <c r="R51" s="247">
        <v>-1.0262137840247724E-3</v>
      </c>
      <c r="S51" s="247">
        <v>-1.3910940663606872E-3</v>
      </c>
    </row>
    <row r="52" spans="3:19" x14ac:dyDescent="0.25">
      <c r="O52" s="14" t="s">
        <v>42</v>
      </c>
      <c r="P52" s="247">
        <v>0</v>
      </c>
      <c r="Q52" s="247">
        <v>0</v>
      </c>
      <c r="R52" s="247">
        <v>0</v>
      </c>
      <c r="S52" s="247">
        <v>0</v>
      </c>
    </row>
    <row r="53" spans="3:19" x14ac:dyDescent="0.25">
      <c r="C53" s="280" t="s">
        <v>58</v>
      </c>
      <c r="D53" s="280"/>
      <c r="E53" s="29">
        <v>3.6057324552962808</v>
      </c>
      <c r="F53" s="28">
        <v>3.7141559970728371</v>
      </c>
      <c r="G53" s="28">
        <v>3.7293813463193666</v>
      </c>
      <c r="H53" s="29">
        <v>2.3747196064240552</v>
      </c>
      <c r="I53" s="28">
        <v>1.966644774175897</v>
      </c>
      <c r="J53" s="28">
        <v>1.970455688032704</v>
      </c>
      <c r="K53" s="29">
        <v>1.9755272144661022</v>
      </c>
      <c r="L53" s="28">
        <v>1.9804098027428805</v>
      </c>
      <c r="M53" s="28">
        <v>1.9856358086137929</v>
      </c>
      <c r="N53" s="29">
        <v>1.9902702188023762</v>
      </c>
      <c r="O53" s="248" t="s">
        <v>284</v>
      </c>
      <c r="P53" s="249">
        <v>1.3115836021832503</v>
      </c>
      <c r="Q53" s="249">
        <v>1.7844023255462866</v>
      </c>
      <c r="R53" s="249">
        <v>1.8104816360588363</v>
      </c>
      <c r="S53" s="249">
        <v>1.8509569924774039</v>
      </c>
    </row>
    <row r="54" spans="3:19" x14ac:dyDescent="0.25">
      <c r="F54" s="242">
        <v>-3.006976893621105E-2</v>
      </c>
      <c r="G54" s="242">
        <v>-3.4292308859872334E-2</v>
      </c>
      <c r="H54" s="242">
        <v>0.34140437875917617</v>
      </c>
      <c r="I54" s="242">
        <v>0.45457828650398324</v>
      </c>
      <c r="J54" s="242">
        <v>0.45352138228159444</v>
      </c>
      <c r="K54" s="242">
        <v>0.45211486460556749</v>
      </c>
      <c r="L54" s="242">
        <v>0.45076074631273455</v>
      </c>
      <c r="M54" s="242">
        <v>0.4493113859024146</v>
      </c>
      <c r="N54" s="242">
        <v>0.44802609636802992</v>
      </c>
      <c r="O54" s="248" t="s">
        <v>285</v>
      </c>
      <c r="P54" s="249">
        <v>1.2968578511664441</v>
      </c>
      <c r="Q54" s="249">
        <v>1.7696765745294805</v>
      </c>
      <c r="R54" s="249">
        <v>1.7957558850420301</v>
      </c>
      <c r="S54" s="249">
        <v>1.8362312414605977</v>
      </c>
    </row>
  </sheetData>
  <sheetProtection algorithmName="SHA-512" hashValue="TUyhLK/nl2kHVd56fY7GXcRVE832xC86RcgqzpciiLyaJzfbcL0qy2zKPEUYdiJRy42dURZA/8EIYNUElGYMFw==" saltValue="abP4copvAiqMdqbZbICC7w==" spinCount="100000" sheet="1" objects="1" scenarios="1"/>
  <mergeCells count="12">
    <mergeCell ref="Q22:R22"/>
    <mergeCell ref="Q23:R23"/>
    <mergeCell ref="P24:S24"/>
    <mergeCell ref="P40:S40"/>
    <mergeCell ref="C37:D37"/>
    <mergeCell ref="E40:N40"/>
    <mergeCell ref="C53:D53"/>
    <mergeCell ref="A1:N1"/>
    <mergeCell ref="A2:N2"/>
    <mergeCell ref="E4:N4"/>
    <mergeCell ref="A22:N22"/>
    <mergeCell ref="E24:N24"/>
  </mergeCells>
  <conditionalFormatting sqref="E7:N7 E8:G8 I8:N8 E9:N9 E10:F10 I10:N10 E11:N14">
    <cfRule type="cellIs" dxfId="0" priority="1" operator="equal">
      <formula>"n/a"</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B68BD-2488-4334-B10B-D16E893E130A}">
  <sheetPr codeName="Sheet11">
    <pageSetUpPr fitToPage="1"/>
  </sheetPr>
  <dimension ref="A1:W55"/>
  <sheetViews>
    <sheetView workbookViewId="0">
      <selection sqref="A1:K1"/>
    </sheetView>
  </sheetViews>
  <sheetFormatPr defaultRowHeight="15" x14ac:dyDescent="0.25"/>
  <cols>
    <col min="2" max="2" width="13.5703125" customWidth="1"/>
    <col min="10" max="11" width="9.7109375" customWidth="1"/>
    <col min="14" max="14" width="13.5703125" customWidth="1"/>
  </cols>
  <sheetData>
    <row r="1" spans="1:23" ht="15.75" x14ac:dyDescent="0.25">
      <c r="A1" s="261" t="s">
        <v>232</v>
      </c>
      <c r="B1" s="261"/>
      <c r="C1" s="261"/>
      <c r="D1" s="261"/>
      <c r="E1" s="261"/>
      <c r="F1" s="261"/>
      <c r="G1" s="261"/>
      <c r="H1" s="261"/>
      <c r="I1" s="261"/>
      <c r="J1" s="261"/>
      <c r="K1" s="261"/>
      <c r="M1" s="261" t="s">
        <v>235</v>
      </c>
      <c r="N1" s="261"/>
      <c r="O1" s="261"/>
      <c r="P1" s="261"/>
      <c r="Q1" s="261"/>
      <c r="R1" s="261"/>
      <c r="S1" s="261"/>
      <c r="T1" s="261"/>
      <c r="U1" s="261"/>
      <c r="V1" s="261"/>
      <c r="W1" s="261"/>
    </row>
    <row r="2" spans="1:23" ht="15.75" x14ac:dyDescent="0.25">
      <c r="A2" s="261" t="s">
        <v>233</v>
      </c>
      <c r="B2" s="261"/>
      <c r="C2" s="261"/>
      <c r="D2" s="261"/>
      <c r="E2" s="261"/>
      <c r="F2" s="261"/>
      <c r="G2" s="261"/>
      <c r="H2" s="261"/>
      <c r="I2" s="261"/>
      <c r="J2" s="261"/>
      <c r="K2" s="261"/>
      <c r="M2" s="261" t="s">
        <v>233</v>
      </c>
      <c r="N2" s="261"/>
      <c r="O2" s="261"/>
      <c r="P2" s="261"/>
      <c r="Q2" s="261"/>
      <c r="R2" s="261"/>
      <c r="S2" s="261"/>
      <c r="T2" s="261"/>
      <c r="U2" s="261"/>
      <c r="V2" s="261"/>
      <c r="W2" s="261"/>
    </row>
    <row r="4" spans="1:23" hidden="1" x14ac:dyDescent="0.25">
      <c r="A4" s="22" t="s">
        <v>62</v>
      </c>
      <c r="B4" s="22"/>
      <c r="C4" s="4">
        <v>1</v>
      </c>
      <c r="D4" s="4"/>
      <c r="E4" s="4"/>
      <c r="F4" s="4">
        <v>2</v>
      </c>
      <c r="G4" s="4">
        <v>3</v>
      </c>
      <c r="H4" s="4">
        <v>4</v>
      </c>
      <c r="I4" s="4">
        <v>5</v>
      </c>
      <c r="J4" s="4">
        <v>1</v>
      </c>
      <c r="K4" s="4">
        <v>2</v>
      </c>
      <c r="M4" s="22" t="s">
        <v>62</v>
      </c>
      <c r="N4" s="22"/>
      <c r="O4" s="4">
        <v>1</v>
      </c>
      <c r="P4" s="4"/>
      <c r="Q4" s="4"/>
      <c r="R4" s="4">
        <v>2</v>
      </c>
      <c r="S4" s="4">
        <v>3</v>
      </c>
      <c r="T4" s="4">
        <v>4</v>
      </c>
      <c r="U4" s="4">
        <v>5</v>
      </c>
      <c r="V4" s="4">
        <v>1</v>
      </c>
      <c r="W4" s="4">
        <v>2</v>
      </c>
    </row>
    <row r="5" spans="1:23" x14ac:dyDescent="0.25">
      <c r="A5" s="4" t="s">
        <v>63</v>
      </c>
      <c r="B5" s="4" t="s">
        <v>64</v>
      </c>
      <c r="C5" s="277" t="s">
        <v>65</v>
      </c>
      <c r="D5" s="277"/>
      <c r="E5" s="277"/>
      <c r="F5" s="277"/>
      <c r="G5" s="277"/>
      <c r="H5" s="277"/>
      <c r="I5" s="277"/>
      <c r="J5" s="277" t="s">
        <v>66</v>
      </c>
      <c r="K5" s="277"/>
      <c r="M5" s="4" t="s">
        <v>63</v>
      </c>
      <c r="N5" s="4" t="s">
        <v>64</v>
      </c>
      <c r="O5" s="277" t="s">
        <v>65</v>
      </c>
      <c r="P5" s="277"/>
      <c r="Q5" s="277"/>
      <c r="R5" s="277"/>
      <c r="S5" s="277"/>
      <c r="T5" s="277"/>
      <c r="U5" s="277"/>
      <c r="V5" s="277" t="s">
        <v>66</v>
      </c>
      <c r="W5" s="277"/>
    </row>
    <row r="6" spans="1:23" x14ac:dyDescent="0.25">
      <c r="A6" s="7" t="s">
        <v>67</v>
      </c>
      <c r="B6" s="7" t="s">
        <v>68</v>
      </c>
      <c r="C6" s="255" t="s">
        <v>2</v>
      </c>
      <c r="D6" s="255" t="s">
        <v>327</v>
      </c>
      <c r="E6" s="255" t="s">
        <v>328</v>
      </c>
      <c r="F6" s="7" t="s">
        <v>3</v>
      </c>
      <c r="G6" s="7" t="s">
        <v>4</v>
      </c>
      <c r="H6" s="7" t="s">
        <v>5</v>
      </c>
      <c r="I6" s="7" t="s">
        <v>6</v>
      </c>
      <c r="J6" s="7" t="s">
        <v>69</v>
      </c>
      <c r="K6" s="7" t="s">
        <v>70</v>
      </c>
      <c r="M6" s="7" t="s">
        <v>67</v>
      </c>
      <c r="N6" s="7" t="s">
        <v>68</v>
      </c>
      <c r="O6" s="255" t="s">
        <v>2</v>
      </c>
      <c r="P6" s="255" t="s">
        <v>327</v>
      </c>
      <c r="Q6" s="255" t="s">
        <v>328</v>
      </c>
      <c r="R6" s="7" t="s">
        <v>3</v>
      </c>
      <c r="S6" s="7" t="s">
        <v>4</v>
      </c>
      <c r="T6" s="7" t="s">
        <v>5</v>
      </c>
      <c r="U6" s="7" t="s">
        <v>6</v>
      </c>
      <c r="V6" s="7" t="s">
        <v>69</v>
      </c>
      <c r="W6" s="7" t="s">
        <v>70</v>
      </c>
    </row>
    <row r="7" spans="1:23" x14ac:dyDescent="0.25">
      <c r="A7" s="4">
        <v>2020</v>
      </c>
      <c r="B7" s="4" t="s">
        <v>137</v>
      </c>
      <c r="C7" s="256">
        <v>7.3874252162777848E-2</v>
      </c>
      <c r="D7" s="256">
        <v>6.6411364954171437E-2</v>
      </c>
      <c r="E7" s="256">
        <v>7.4628872086064469E-3</v>
      </c>
      <c r="F7" s="2">
        <v>1.176115133924645</v>
      </c>
      <c r="G7" s="120">
        <v>2.7453689936435769E-3</v>
      </c>
      <c r="H7" s="2">
        <v>1.4241257024288914</v>
      </c>
      <c r="I7" s="2">
        <v>3.9756334910650407E-2</v>
      </c>
      <c r="J7" s="60">
        <v>1305044.047729342</v>
      </c>
      <c r="K7" s="60">
        <v>69249.336764480002</v>
      </c>
      <c r="M7" s="4">
        <v>2020</v>
      </c>
      <c r="N7" s="4" t="s">
        <v>137</v>
      </c>
      <c r="O7" s="256">
        <v>0.1025625208308969</v>
      </c>
      <c r="P7" s="256">
        <v>9.0725837502530687E-2</v>
      </c>
      <c r="Q7" s="256">
        <v>1.1836683328366229E-2</v>
      </c>
      <c r="R7" s="2">
        <v>1.7714176537659712</v>
      </c>
      <c r="S7" s="120">
        <v>4.2315867801394833E-3</v>
      </c>
      <c r="T7" s="2">
        <v>1.8594191911790356</v>
      </c>
      <c r="U7" s="2">
        <v>6.2447704664889095E-2</v>
      </c>
      <c r="V7" s="60">
        <v>2081125.304445355</v>
      </c>
      <c r="W7" s="60">
        <v>87164.853123359993</v>
      </c>
    </row>
    <row r="8" spans="1:23" x14ac:dyDescent="0.25">
      <c r="A8" s="4">
        <v>2021</v>
      </c>
      <c r="B8" s="61">
        <v>0.05</v>
      </c>
      <c r="C8" s="2">
        <v>6.6311608172033923E-2</v>
      </c>
      <c r="D8" s="2">
        <v>5.8945565798765934E-2</v>
      </c>
      <c r="E8" s="2">
        <v>7.3660423732679987E-3</v>
      </c>
      <c r="F8" s="2">
        <v>1.0587454219352588</v>
      </c>
      <c r="G8" s="120">
        <v>2.6754378538783549E-3</v>
      </c>
      <c r="H8" s="2">
        <v>1.350541962070898</v>
      </c>
      <c r="I8" s="2">
        <v>4.0673160371843625E-2</v>
      </c>
      <c r="J8" s="60">
        <v>1305042.8576342321</v>
      </c>
      <c r="K8" s="60">
        <v>69249.27325350001</v>
      </c>
      <c r="M8" s="4">
        <v>2021</v>
      </c>
      <c r="N8" s="61">
        <v>0.05</v>
      </c>
      <c r="O8" s="2">
        <v>9.1775294799411128E-2</v>
      </c>
      <c r="P8" s="2">
        <v>8.0092606575552075E-2</v>
      </c>
      <c r="Q8" s="2">
        <v>1.1682688223859058E-2</v>
      </c>
      <c r="R8" s="2">
        <v>1.5886436681512568</v>
      </c>
      <c r="S8" s="120">
        <v>4.1211841274960276E-3</v>
      </c>
      <c r="T8" s="2">
        <v>1.7582452502421497</v>
      </c>
      <c r="U8" s="2">
        <v>6.3870426466784966E-2</v>
      </c>
      <c r="V8" s="60">
        <v>2081125.7940060967</v>
      </c>
      <c r="W8" s="60">
        <v>87164.819224289997</v>
      </c>
    </row>
    <row r="9" spans="1:23" x14ac:dyDescent="0.25">
      <c r="A9" s="4">
        <v>2022</v>
      </c>
      <c r="B9" s="61">
        <v>0.05</v>
      </c>
      <c r="C9" s="2">
        <v>6.553027683826472E-2</v>
      </c>
      <c r="D9" s="2">
        <v>5.788320076204298E-2</v>
      </c>
      <c r="E9" s="2">
        <v>7.6470760762217555E-3</v>
      </c>
      <c r="F9" s="2">
        <v>1.0083207462853889</v>
      </c>
      <c r="G9" s="120">
        <v>2.744684522169341E-3</v>
      </c>
      <c r="H9" s="2">
        <v>1.3489197251653013</v>
      </c>
      <c r="I9" s="2">
        <v>4.1738206109658969E-2</v>
      </c>
      <c r="J9" s="60">
        <v>1371062.6803313871</v>
      </c>
      <c r="K9" s="60">
        <v>72723.876070499988</v>
      </c>
      <c r="M9" s="4">
        <v>2022</v>
      </c>
      <c r="N9" s="61">
        <v>0.05</v>
      </c>
      <c r="O9" s="2">
        <v>9.0310490284561756E-2</v>
      </c>
      <c r="P9" s="2">
        <v>7.8180584762688576E-2</v>
      </c>
      <c r="Q9" s="2">
        <v>1.2129905521873176E-2</v>
      </c>
      <c r="R9" s="2">
        <v>1.5077258111429055</v>
      </c>
      <c r="S9" s="120">
        <v>4.2268226558694237E-3</v>
      </c>
      <c r="T9" s="2">
        <v>1.7532833896623616</v>
      </c>
      <c r="U9" s="2">
        <v>6.5543388346349651E-2</v>
      </c>
      <c r="V9" s="60">
        <v>2186402.1290758383</v>
      </c>
      <c r="W9" s="60">
        <v>91538.497514079994</v>
      </c>
    </row>
    <row r="10" spans="1:23" x14ac:dyDescent="0.25">
      <c r="A10" s="4">
        <v>2023</v>
      </c>
      <c r="B10" s="4" t="s">
        <v>71</v>
      </c>
      <c r="C10" s="2">
        <v>6.2414198118679466E-2</v>
      </c>
      <c r="D10" s="2">
        <v>5.4765003845333282E-2</v>
      </c>
      <c r="E10" s="2">
        <v>7.6491942733461936E-3</v>
      </c>
      <c r="F10" s="2">
        <v>0.92472027675131474</v>
      </c>
      <c r="G10" s="120">
        <v>2.6897315522799972E-3</v>
      </c>
      <c r="H10" s="2">
        <v>1.2915278315505767</v>
      </c>
      <c r="I10" s="2">
        <v>4.0965641784397572E-2</v>
      </c>
      <c r="J10" s="60">
        <v>1372259.1846681612</v>
      </c>
      <c r="K10" s="60">
        <v>72753.71809935999</v>
      </c>
      <c r="M10" s="4">
        <v>2023</v>
      </c>
      <c r="N10" s="4" t="s">
        <v>71</v>
      </c>
      <c r="O10" s="2">
        <v>8.5744152296594323E-2</v>
      </c>
      <c r="P10" s="2">
        <v>7.3610991258696912E-2</v>
      </c>
      <c r="Q10" s="2">
        <v>1.2133161037897452E-2</v>
      </c>
      <c r="R10" s="2">
        <v>1.3774111011418197</v>
      </c>
      <c r="S10" s="120">
        <v>4.1399145240941897E-3</v>
      </c>
      <c r="T10" s="2">
        <v>1.6757179482818756</v>
      </c>
      <c r="U10" s="2">
        <v>6.4280932026828122E-2</v>
      </c>
      <c r="V10" s="60">
        <v>2188309.7875257423</v>
      </c>
      <c r="W10" s="60">
        <v>91577.324368309986</v>
      </c>
    </row>
    <row r="11" spans="1:23" x14ac:dyDescent="0.25">
      <c r="A11" s="4">
        <v>2024</v>
      </c>
      <c r="B11" s="61">
        <v>0.05</v>
      </c>
      <c r="C11" s="2">
        <v>5.8866499745154531E-2</v>
      </c>
      <c r="D11" s="2">
        <v>5.1214386343854765E-2</v>
      </c>
      <c r="E11" s="2">
        <v>7.652113401299768E-3</v>
      </c>
      <c r="F11" s="2">
        <v>0.82465140630120271</v>
      </c>
      <c r="G11" s="120">
        <v>2.6372746674138488E-3</v>
      </c>
      <c r="H11" s="2">
        <v>1.2302331467505194</v>
      </c>
      <c r="I11" s="2">
        <v>4.0362905818191928E-2</v>
      </c>
      <c r="J11" s="60">
        <v>1373457.4451173935</v>
      </c>
      <c r="K11" s="60">
        <v>72783.426968109998</v>
      </c>
      <c r="M11" s="4">
        <v>2024</v>
      </c>
      <c r="N11" s="61">
        <v>0.05</v>
      </c>
      <c r="O11" s="2">
        <v>8.08579582170047E-2</v>
      </c>
      <c r="P11" s="2">
        <v>6.8720379936821688E-2</v>
      </c>
      <c r="Q11" s="2">
        <v>1.2137578280183019E-2</v>
      </c>
      <c r="R11" s="2">
        <v>1.2199185936564256</v>
      </c>
      <c r="S11" s="120">
        <v>4.0567832806450016E-3</v>
      </c>
      <c r="T11" s="2">
        <v>1.5906385241765824</v>
      </c>
      <c r="U11" s="2">
        <v>6.3289819648467693E-2</v>
      </c>
      <c r="V11" s="60">
        <v>2190217.052946839</v>
      </c>
      <c r="W11" s="60">
        <v>91615.878417349988</v>
      </c>
    </row>
    <row r="12" spans="1:23" x14ac:dyDescent="0.25">
      <c r="A12" s="4">
        <v>2025</v>
      </c>
      <c r="B12" s="61">
        <v>0.05</v>
      </c>
      <c r="C12" s="2">
        <v>5.6045630458438661E-2</v>
      </c>
      <c r="D12" s="2">
        <v>4.8378798436156466E-2</v>
      </c>
      <c r="E12" s="2">
        <v>7.6668320222821979E-3</v>
      </c>
      <c r="F12" s="2">
        <v>0.76578886281896508</v>
      </c>
      <c r="G12" s="120">
        <v>2.5889091708837346E-3</v>
      </c>
      <c r="H12" s="2">
        <v>1.1833519177598342</v>
      </c>
      <c r="I12" s="2">
        <v>3.9768697234401268E-2</v>
      </c>
      <c r="J12" s="60">
        <v>1375450.9329023776</v>
      </c>
      <c r="K12" s="60">
        <v>72877.920604650004</v>
      </c>
      <c r="M12" s="4">
        <v>2025</v>
      </c>
      <c r="N12" s="61">
        <v>0.05</v>
      </c>
      <c r="O12" s="2">
        <v>7.6946134456613316E-2</v>
      </c>
      <c r="P12" s="2">
        <v>6.4785079615300889E-2</v>
      </c>
      <c r="Q12" s="2">
        <v>1.2161054841312418E-2</v>
      </c>
      <c r="R12" s="2">
        <v>1.1289169048632759</v>
      </c>
      <c r="S12" s="120">
        <v>3.9801685960569981E-3</v>
      </c>
      <c r="T12" s="2">
        <v>1.5275311598216172</v>
      </c>
      <c r="U12" s="2">
        <v>6.2312955030053067E-2</v>
      </c>
      <c r="V12" s="60">
        <v>2193400.1954068379</v>
      </c>
      <c r="W12" s="60">
        <v>91737.357656180015</v>
      </c>
    </row>
    <row r="13" spans="1:23" x14ac:dyDescent="0.25">
      <c r="A13" s="4">
        <v>2026</v>
      </c>
      <c r="B13" s="4" t="s">
        <v>71</v>
      </c>
      <c r="C13" s="2">
        <v>5.3779949156334717E-2</v>
      </c>
      <c r="D13" s="2">
        <v>4.6100180236027646E-2</v>
      </c>
      <c r="E13" s="2">
        <v>7.679768920307084E-3</v>
      </c>
      <c r="F13" s="2">
        <v>0.68601154556560284</v>
      </c>
      <c r="G13" s="120">
        <v>2.5410560249381499E-3</v>
      </c>
      <c r="H13" s="2">
        <v>1.1187834707814819</v>
      </c>
      <c r="I13" s="2">
        <v>3.832236434362768E-2</v>
      </c>
      <c r="J13" s="60">
        <v>1377448.3770702484</v>
      </c>
      <c r="K13" s="60">
        <v>72972.402694600009</v>
      </c>
      <c r="M13" s="4">
        <v>2026</v>
      </c>
      <c r="N13" s="4" t="s">
        <v>71</v>
      </c>
      <c r="O13" s="2">
        <v>7.3729328880400166E-2</v>
      </c>
      <c r="P13" s="2">
        <v>6.154787538200357E-2</v>
      </c>
      <c r="Q13" s="2">
        <v>1.2181453498396609E-2</v>
      </c>
      <c r="R13" s="2">
        <v>1.0042398159618726</v>
      </c>
      <c r="S13" s="120">
        <v>3.9043676903227232E-3</v>
      </c>
      <c r="T13" s="2">
        <v>1.4356581212743627</v>
      </c>
      <c r="U13" s="2">
        <v>5.9982461763952895E-2</v>
      </c>
      <c r="V13" s="60">
        <v>2196577.2234567413</v>
      </c>
      <c r="W13" s="60">
        <v>91858.693979629985</v>
      </c>
    </row>
    <row r="14" spans="1:23" x14ac:dyDescent="0.25">
      <c r="A14" s="4">
        <v>2027</v>
      </c>
      <c r="B14" s="61" t="s">
        <v>272</v>
      </c>
      <c r="C14" s="256">
        <v>5.1612391272158692E-2</v>
      </c>
      <c r="D14" s="256">
        <v>4.391868486161208E-2</v>
      </c>
      <c r="E14" s="256">
        <v>7.6937064105466269E-3</v>
      </c>
      <c r="F14" s="2">
        <v>0.64798078877541943</v>
      </c>
      <c r="G14" s="120">
        <v>2.5017007089312964E-3</v>
      </c>
      <c r="H14" s="2">
        <v>1.084811021296016</v>
      </c>
      <c r="I14" s="2">
        <v>3.804129679267361E-2</v>
      </c>
      <c r="J14" s="60">
        <v>1379444.6953765163</v>
      </c>
      <c r="K14" s="60">
        <v>73066.953225960009</v>
      </c>
      <c r="M14" s="4">
        <v>2027</v>
      </c>
      <c r="N14" s="61" t="s">
        <v>272</v>
      </c>
      <c r="O14" s="256">
        <v>7.0625590825959331E-2</v>
      </c>
      <c r="P14" s="256">
        <v>5.8422126996674477E-2</v>
      </c>
      <c r="Q14" s="256">
        <v>1.2203463829284845E-2</v>
      </c>
      <c r="R14" s="2">
        <v>0.94534644922338207</v>
      </c>
      <c r="S14" s="120">
        <v>3.8420971295871119E-3</v>
      </c>
      <c r="T14" s="2">
        <v>1.389866186726634</v>
      </c>
      <c r="U14" s="2">
        <v>5.9506772794328505E-2</v>
      </c>
      <c r="V14" s="60">
        <v>2199761.6712646447</v>
      </c>
      <c r="W14" s="60">
        <v>91980.189087239996</v>
      </c>
    </row>
    <row r="15" spans="1:23" x14ac:dyDescent="0.25">
      <c r="A15" s="4">
        <v>2028</v>
      </c>
      <c r="B15" s="61">
        <v>0.05</v>
      </c>
      <c r="C15" s="2">
        <v>4.8900307930087678E-2</v>
      </c>
      <c r="D15" s="2">
        <v>4.1192614505391363E-2</v>
      </c>
      <c r="E15" s="2">
        <v>7.7076934246963109E-3</v>
      </c>
      <c r="F15" s="2">
        <v>0.60113500061042435</v>
      </c>
      <c r="G15" s="120">
        <v>2.4630953742018E-3</v>
      </c>
      <c r="H15" s="2">
        <v>1.0601027145972552</v>
      </c>
      <c r="I15" s="2">
        <v>3.7971611391623021E-2</v>
      </c>
      <c r="J15" s="60">
        <v>1381441.2364001058</v>
      </c>
      <c r="K15" s="60">
        <v>73161.471163213981</v>
      </c>
      <c r="M15" s="4">
        <v>2028</v>
      </c>
      <c r="N15" s="61">
        <v>0.05</v>
      </c>
      <c r="O15" s="2">
        <v>6.6441780546344545E-2</v>
      </c>
      <c r="P15" s="2">
        <v>5.4215997255102136E-2</v>
      </c>
      <c r="Q15" s="2">
        <v>1.2225783291242439E-2</v>
      </c>
      <c r="R15" s="2">
        <v>0.87196465238248588</v>
      </c>
      <c r="S15" s="120">
        <v>3.7808805237378425E-3</v>
      </c>
      <c r="T15" s="2">
        <v>1.3561582087400064</v>
      </c>
      <c r="U15" s="2">
        <v>5.936945971482973E-2</v>
      </c>
      <c r="V15" s="60">
        <v>2202940.4382815659</v>
      </c>
      <c r="W15" s="60">
        <v>92101.581935790993</v>
      </c>
    </row>
    <row r="16" spans="1:23" x14ac:dyDescent="0.25">
      <c r="A16" s="4">
        <v>2029</v>
      </c>
      <c r="B16" s="4" t="s">
        <v>71</v>
      </c>
      <c r="C16" s="2">
        <v>4.8497091722706893E-2</v>
      </c>
      <c r="D16" s="2">
        <v>4.0668866129976999E-2</v>
      </c>
      <c r="E16" s="2">
        <v>7.828225592729901E-3</v>
      </c>
      <c r="F16" s="2">
        <v>0.56547844336394115</v>
      </c>
      <c r="G16" s="120">
        <v>2.4621714910392609E-3</v>
      </c>
      <c r="H16" s="2">
        <v>1.0471356521869259</v>
      </c>
      <c r="I16" s="2">
        <v>3.8196619282224148E-2</v>
      </c>
      <c r="J16" s="60">
        <v>1403474.8628328678</v>
      </c>
      <c r="K16" s="60">
        <v>74332.232254299975</v>
      </c>
      <c r="M16" s="4">
        <v>2029</v>
      </c>
      <c r="N16" s="4" t="s">
        <v>71</v>
      </c>
      <c r="O16" s="2">
        <v>6.5965889267339151E-2</v>
      </c>
      <c r="P16" s="2">
        <v>5.3548050973664683E-2</v>
      </c>
      <c r="Q16" s="2">
        <v>1.2417838293674457E-2</v>
      </c>
      <c r="R16" s="2">
        <v>0.81525240523980635</v>
      </c>
      <c r="S16" s="120">
        <v>3.7782792943237922E-3</v>
      </c>
      <c r="T16" s="2">
        <v>1.3386539588354516</v>
      </c>
      <c r="U16" s="2">
        <v>5.9700016597197245E-2</v>
      </c>
      <c r="V16" s="60">
        <v>2238082.2773554195</v>
      </c>
      <c r="W16" s="60">
        <v>93578.254322320019</v>
      </c>
    </row>
    <row r="19" spans="1:23" ht="15.75" x14ac:dyDescent="0.25">
      <c r="A19" s="261" t="s">
        <v>234</v>
      </c>
      <c r="B19" s="261"/>
      <c r="C19" s="261"/>
      <c r="D19" s="261"/>
      <c r="E19" s="261"/>
      <c r="F19" s="261"/>
      <c r="G19" s="261"/>
      <c r="H19" s="261"/>
      <c r="I19" s="261"/>
      <c r="J19" s="261"/>
      <c r="K19" s="261"/>
      <c r="M19" s="261" t="s">
        <v>235</v>
      </c>
      <c r="N19" s="261"/>
      <c r="O19" s="261"/>
      <c r="P19" s="261"/>
      <c r="Q19" s="261"/>
      <c r="R19" s="261"/>
      <c r="S19" s="261"/>
      <c r="T19" s="261"/>
      <c r="U19" s="261"/>
      <c r="V19" s="261"/>
      <c r="W19" s="261"/>
    </row>
    <row r="20" spans="1:23" ht="15.75" x14ac:dyDescent="0.25">
      <c r="A20" s="261" t="s">
        <v>233</v>
      </c>
      <c r="B20" s="261"/>
      <c r="C20" s="261"/>
      <c r="D20" s="261"/>
      <c r="E20" s="261"/>
      <c r="F20" s="261"/>
      <c r="G20" s="261"/>
      <c r="H20" s="261"/>
      <c r="I20" s="261"/>
      <c r="J20" s="261"/>
      <c r="K20" s="261"/>
      <c r="M20" s="261" t="s">
        <v>233</v>
      </c>
      <c r="N20" s="261"/>
      <c r="O20" s="261"/>
      <c r="P20" s="261"/>
      <c r="Q20" s="261"/>
      <c r="R20" s="261"/>
      <c r="S20" s="261"/>
      <c r="T20" s="261"/>
      <c r="U20" s="261"/>
      <c r="V20" s="261"/>
      <c r="W20" s="261"/>
    </row>
    <row r="21" spans="1:23" ht="15.75" x14ac:dyDescent="0.25">
      <c r="A21" s="283" t="s">
        <v>72</v>
      </c>
      <c r="B21" s="283"/>
      <c r="C21" s="283"/>
      <c r="D21" s="283"/>
      <c r="E21" s="283"/>
      <c r="F21" s="283"/>
      <c r="G21" s="283"/>
      <c r="H21" s="283"/>
      <c r="I21" s="283"/>
      <c r="J21" s="283"/>
      <c r="K21" s="283"/>
      <c r="M21" s="283" t="s">
        <v>72</v>
      </c>
      <c r="N21" s="283"/>
      <c r="O21" s="283"/>
      <c r="P21" s="283"/>
      <c r="Q21" s="283"/>
      <c r="R21" s="283"/>
      <c r="S21" s="283"/>
      <c r="T21" s="283"/>
      <c r="U21" s="283"/>
      <c r="V21" s="283"/>
      <c r="W21" s="283"/>
    </row>
    <row r="24" spans="1:23" x14ac:dyDescent="0.25">
      <c r="A24" s="4" t="s">
        <v>63</v>
      </c>
      <c r="B24" s="4" t="s">
        <v>73</v>
      </c>
      <c r="C24" s="277" t="s">
        <v>65</v>
      </c>
      <c r="D24" s="277"/>
      <c r="E24" s="277"/>
      <c r="F24" s="277"/>
      <c r="G24" s="277"/>
      <c r="H24" s="277"/>
      <c r="I24" s="277"/>
      <c r="M24" s="4" t="s">
        <v>63</v>
      </c>
      <c r="N24" s="4" t="s">
        <v>73</v>
      </c>
      <c r="O24" s="277" t="s">
        <v>65</v>
      </c>
      <c r="P24" s="277"/>
      <c r="Q24" s="277"/>
      <c r="R24" s="277"/>
      <c r="S24" s="277"/>
      <c r="T24" s="277"/>
      <c r="U24" s="277"/>
    </row>
    <row r="25" spans="1:23" x14ac:dyDescent="0.25">
      <c r="A25" s="7" t="s">
        <v>67</v>
      </c>
      <c r="B25" s="7" t="s">
        <v>74</v>
      </c>
      <c r="C25" s="255" t="s">
        <v>2</v>
      </c>
      <c r="D25" s="255" t="s">
        <v>327</v>
      </c>
      <c r="E25" s="255" t="s">
        <v>328</v>
      </c>
      <c r="F25" s="7" t="s">
        <v>3</v>
      </c>
      <c r="G25" s="7" t="s">
        <v>4</v>
      </c>
      <c r="H25" s="7" t="s">
        <v>5</v>
      </c>
      <c r="I25" s="7" t="s">
        <v>6</v>
      </c>
      <c r="M25" s="7" t="s">
        <v>67</v>
      </c>
      <c r="N25" s="7" t="s">
        <v>74</v>
      </c>
      <c r="O25" s="255" t="s">
        <v>2</v>
      </c>
      <c r="P25" s="255" t="s">
        <v>327</v>
      </c>
      <c r="Q25" s="255" t="s">
        <v>328</v>
      </c>
      <c r="R25" s="7" t="s">
        <v>3</v>
      </c>
      <c r="S25" s="7" t="s">
        <v>4</v>
      </c>
      <c r="T25" s="7" t="s">
        <v>5</v>
      </c>
      <c r="U25" s="7" t="s">
        <v>6</v>
      </c>
    </row>
    <row r="26" spans="1:23" x14ac:dyDescent="0.25">
      <c r="A26" s="4">
        <v>2020</v>
      </c>
      <c r="B26" s="4" t="s">
        <v>75</v>
      </c>
      <c r="C26" s="256">
        <v>2.8290423021748702E-2</v>
      </c>
      <c r="D26" s="256">
        <v>2.0827535813142253E-2</v>
      </c>
      <c r="E26" s="256">
        <v>7.462887208606446E-3</v>
      </c>
      <c r="F26" s="2">
        <v>0.90618681006947799</v>
      </c>
      <c r="G26" s="59">
        <v>2.2808274163303465E-3</v>
      </c>
      <c r="H26" s="2">
        <v>0.25197348656670132</v>
      </c>
      <c r="I26" s="2">
        <v>3.6791161583606284E-2</v>
      </c>
      <c r="M26" s="4">
        <v>2020</v>
      </c>
      <c r="N26" s="4" t="s">
        <v>75</v>
      </c>
      <c r="O26" s="256">
        <v>4.4588997593208349E-2</v>
      </c>
      <c r="P26" s="256">
        <v>3.2752314264842097E-2</v>
      </c>
      <c r="Q26" s="256">
        <v>1.1836683328366229E-2</v>
      </c>
      <c r="R26" s="2">
        <v>1.4185540726010517</v>
      </c>
      <c r="S26" s="59">
        <v>3.602057568877921E-3</v>
      </c>
      <c r="T26" s="2">
        <v>0.38047439651892351</v>
      </c>
      <c r="U26" s="2">
        <v>5.7769319831120262E-2</v>
      </c>
    </row>
    <row r="27" spans="1:23" x14ac:dyDescent="0.25">
      <c r="A27" s="4">
        <v>2020</v>
      </c>
      <c r="B27" t="s">
        <v>76</v>
      </c>
      <c r="C27" s="256">
        <v>4.5583829141029181E-2</v>
      </c>
      <c r="D27" s="256">
        <v>4.5583829141029181E-2</v>
      </c>
      <c r="E27" s="256">
        <v>0</v>
      </c>
      <c r="F27" s="2">
        <v>0.26992832385516707</v>
      </c>
      <c r="G27" s="59">
        <v>4.6454157731323087E-4</v>
      </c>
      <c r="H27" s="2">
        <v>1.17215221586219</v>
      </c>
      <c r="I27" s="2">
        <v>2.9651733270441164E-3</v>
      </c>
      <c r="M27" s="4">
        <v>2020</v>
      </c>
      <c r="N27" t="s">
        <v>76</v>
      </c>
      <c r="O27" s="256">
        <v>5.7973523237688562E-2</v>
      </c>
      <c r="P27" s="256">
        <v>5.7973523237688562E-2</v>
      </c>
      <c r="Q27" s="256">
        <v>0</v>
      </c>
      <c r="R27" s="2">
        <v>0.35286358116491912</v>
      </c>
      <c r="S27" s="59">
        <v>6.2952921126156465E-4</v>
      </c>
      <c r="T27" s="2">
        <v>1.4789447946601122</v>
      </c>
      <c r="U27" s="2">
        <v>4.6783848337688351E-3</v>
      </c>
    </row>
    <row r="28" spans="1:23" x14ac:dyDescent="0.25">
      <c r="A28" s="4">
        <v>2020</v>
      </c>
      <c r="B28" s="4" t="s">
        <v>77</v>
      </c>
      <c r="C28" s="256">
        <v>7.3874252162777876E-2</v>
      </c>
      <c r="D28" s="256">
        <v>6.6411364954171437E-2</v>
      </c>
      <c r="E28" s="256">
        <v>7.462887208606446E-3</v>
      </c>
      <c r="F28" s="2">
        <v>1.176115133924645</v>
      </c>
      <c r="G28" s="59">
        <v>2.7453689936435773E-3</v>
      </c>
      <c r="H28" s="2">
        <v>1.4241257024288914</v>
      </c>
      <c r="I28" s="2">
        <v>3.97563349106504E-2</v>
      </c>
      <c r="M28" s="4">
        <v>2020</v>
      </c>
      <c r="N28" s="4" t="s">
        <v>77</v>
      </c>
      <c r="O28" s="256">
        <v>0.10256252083089691</v>
      </c>
      <c r="P28" s="256">
        <v>9.072583750253066E-2</v>
      </c>
      <c r="Q28" s="256">
        <v>1.1836683328366229E-2</v>
      </c>
      <c r="R28" s="2">
        <v>1.7714176537659707</v>
      </c>
      <c r="S28" s="59">
        <v>4.2315867801394859E-3</v>
      </c>
      <c r="T28" s="2">
        <v>1.8594191911790356</v>
      </c>
      <c r="U28" s="2">
        <v>6.2447704664889095E-2</v>
      </c>
    </row>
    <row r="29" spans="1:23" x14ac:dyDescent="0.25">
      <c r="A29" s="4">
        <v>2021</v>
      </c>
      <c r="B29" s="4" t="s">
        <v>75</v>
      </c>
      <c r="C29" s="2">
        <v>2.467962641636021E-2</v>
      </c>
      <c r="D29" s="2">
        <v>1.7313584043092207E-2</v>
      </c>
      <c r="E29" s="2">
        <v>7.3660423732679987E-3</v>
      </c>
      <c r="F29" s="2">
        <v>0.80270735757239087</v>
      </c>
      <c r="G29" s="59">
        <v>2.2182602547611034E-3</v>
      </c>
      <c r="H29" s="2">
        <v>0.22623802456887365</v>
      </c>
      <c r="I29" s="2">
        <v>3.7670499801020073E-2</v>
      </c>
      <c r="M29" s="4">
        <v>2021</v>
      </c>
      <c r="N29" s="4" t="s">
        <v>75</v>
      </c>
      <c r="O29" s="2">
        <v>3.8853653212798434E-2</v>
      </c>
      <c r="P29" s="2">
        <v>2.7170964988939367E-2</v>
      </c>
      <c r="Q29" s="2">
        <v>1.168268822385906E-2</v>
      </c>
      <c r="R29" s="2">
        <v>1.2545054103246109</v>
      </c>
      <c r="S29" s="59">
        <v>3.5022921259268711E-3</v>
      </c>
      <c r="T29" s="2">
        <v>0.3401059187356445</v>
      </c>
      <c r="U29" s="2">
        <v>5.913428360636299E-2</v>
      </c>
    </row>
    <row r="30" spans="1:23" x14ac:dyDescent="0.25">
      <c r="A30" s="4">
        <v>2021</v>
      </c>
      <c r="B30" t="s">
        <v>76</v>
      </c>
      <c r="C30" s="2">
        <v>4.1631981755673723E-2</v>
      </c>
      <c r="D30" s="2">
        <v>4.1631981755673723E-2</v>
      </c>
      <c r="E30" s="2">
        <v>0</v>
      </c>
      <c r="F30" s="2">
        <v>0.25603806436286797</v>
      </c>
      <c r="G30" s="59">
        <v>4.571775991172516E-4</v>
      </c>
      <c r="H30" s="2">
        <v>1.1243039375020247</v>
      </c>
      <c r="I30" s="2">
        <v>3.0026605708235701E-3</v>
      </c>
      <c r="M30" s="4">
        <v>2021</v>
      </c>
      <c r="N30" t="s">
        <v>76</v>
      </c>
      <c r="O30" s="2">
        <v>5.2921641586612708E-2</v>
      </c>
      <c r="P30" s="2">
        <v>5.2921641586612708E-2</v>
      </c>
      <c r="Q30" s="2">
        <v>0</v>
      </c>
      <c r="R30" s="2">
        <v>0.33413825782664591</v>
      </c>
      <c r="S30" s="59">
        <v>6.1889200156915747E-4</v>
      </c>
      <c r="T30" s="2">
        <v>1.4181393315065054</v>
      </c>
      <c r="U30" s="2">
        <v>4.7361428604220024E-3</v>
      </c>
    </row>
    <row r="31" spans="1:23" x14ac:dyDescent="0.25">
      <c r="A31" s="4">
        <v>2021</v>
      </c>
      <c r="B31" s="4" t="s">
        <v>77</v>
      </c>
      <c r="C31" s="2">
        <v>6.6311608172033937E-2</v>
      </c>
      <c r="D31" s="2">
        <v>5.8945565798765934E-2</v>
      </c>
      <c r="E31" s="2">
        <v>7.3660423732679987E-3</v>
      </c>
      <c r="F31" s="2">
        <v>1.0587454219352588</v>
      </c>
      <c r="G31" s="59">
        <v>2.6754378538783549E-3</v>
      </c>
      <c r="H31" s="2">
        <v>1.3505419620708983</v>
      </c>
      <c r="I31" s="2">
        <v>4.0673160371843646E-2</v>
      </c>
      <c r="M31" s="4">
        <v>2021</v>
      </c>
      <c r="N31" s="4" t="s">
        <v>77</v>
      </c>
      <c r="O31" s="2">
        <v>9.1775294799411142E-2</v>
      </c>
      <c r="P31" s="2">
        <v>8.0092606575552075E-2</v>
      </c>
      <c r="Q31" s="2">
        <v>1.168268822385906E-2</v>
      </c>
      <c r="R31" s="2">
        <v>1.5886436681512568</v>
      </c>
      <c r="S31" s="59">
        <v>4.1211841274960285E-3</v>
      </c>
      <c r="T31" s="2">
        <v>1.7582452502421499</v>
      </c>
      <c r="U31" s="2">
        <v>6.3870426466784994E-2</v>
      </c>
    </row>
    <row r="32" spans="1:23" x14ac:dyDescent="0.25">
      <c r="A32" s="4">
        <v>2022</v>
      </c>
      <c r="B32" s="4" t="s">
        <v>75</v>
      </c>
      <c r="C32" s="2">
        <v>2.3325406093522048E-2</v>
      </c>
      <c r="D32" s="2">
        <v>1.5678330017300294E-2</v>
      </c>
      <c r="E32" s="2">
        <v>7.6470760762217546E-3</v>
      </c>
      <c r="F32" s="2">
        <v>0.75094264391641963</v>
      </c>
      <c r="G32" s="59">
        <v>2.2706639653279452E-3</v>
      </c>
      <c r="H32" s="2">
        <v>0.21555078469015881</v>
      </c>
      <c r="I32" s="2">
        <v>3.8660510889825264E-2</v>
      </c>
      <c r="M32" s="4">
        <v>2022</v>
      </c>
      <c r="N32" s="4" t="s">
        <v>75</v>
      </c>
      <c r="O32" s="2">
        <v>3.6716991259946992E-2</v>
      </c>
      <c r="P32" s="2">
        <v>2.4587085738073812E-2</v>
      </c>
      <c r="Q32" s="2">
        <v>1.2129905521873173E-2</v>
      </c>
      <c r="R32" s="2">
        <v>1.172228349560394</v>
      </c>
      <c r="S32" s="59">
        <v>3.5856824340757391E-3</v>
      </c>
      <c r="T32" s="2">
        <v>0.32379382104851451</v>
      </c>
      <c r="U32" s="2">
        <v>6.0688967357623642E-2</v>
      </c>
    </row>
    <row r="33" spans="1:21" x14ac:dyDescent="0.25">
      <c r="A33" s="4">
        <v>2022</v>
      </c>
      <c r="B33" t="s">
        <v>76</v>
      </c>
      <c r="C33" s="2">
        <v>4.2204870744742669E-2</v>
      </c>
      <c r="D33" s="2">
        <v>4.2204870744742669E-2</v>
      </c>
      <c r="E33" s="2">
        <v>0</v>
      </c>
      <c r="F33" s="2">
        <v>0.25737810236896896</v>
      </c>
      <c r="G33" s="59">
        <v>4.7402055684139544E-4</v>
      </c>
      <c r="H33" s="2">
        <v>1.1333689404751424</v>
      </c>
      <c r="I33" s="2">
        <v>3.0776952198337043E-3</v>
      </c>
      <c r="M33" s="4">
        <v>2022</v>
      </c>
      <c r="N33" t="s">
        <v>76</v>
      </c>
      <c r="O33" s="2">
        <v>5.3593499024614771E-2</v>
      </c>
      <c r="P33" s="2">
        <v>5.3593499024614771E-2</v>
      </c>
      <c r="Q33" s="2">
        <v>0</v>
      </c>
      <c r="R33" s="2">
        <v>0.33549746158251187</v>
      </c>
      <c r="S33" s="59">
        <v>6.4114022179368412E-4</v>
      </c>
      <c r="T33" s="2">
        <v>1.4294895686138467</v>
      </c>
      <c r="U33" s="2">
        <v>4.8544209887260246E-3</v>
      </c>
    </row>
    <row r="34" spans="1:21" x14ac:dyDescent="0.25">
      <c r="A34" s="4">
        <v>2022</v>
      </c>
      <c r="B34" s="4" t="s">
        <v>77</v>
      </c>
      <c r="C34" s="2">
        <v>6.553027683826472E-2</v>
      </c>
      <c r="D34" s="2">
        <v>5.7883200762042966E-2</v>
      </c>
      <c r="E34" s="2">
        <v>7.6470760762217546E-3</v>
      </c>
      <c r="F34" s="2">
        <v>1.0083207462853885</v>
      </c>
      <c r="G34" s="59">
        <v>2.7446845221693406E-3</v>
      </c>
      <c r="H34" s="2">
        <v>1.3489197251653011</v>
      </c>
      <c r="I34" s="2">
        <v>4.1738206109658969E-2</v>
      </c>
      <c r="M34" s="4">
        <v>2022</v>
      </c>
      <c r="N34" s="4" t="s">
        <v>77</v>
      </c>
      <c r="O34" s="2">
        <v>9.0310490284561756E-2</v>
      </c>
      <c r="P34" s="2">
        <v>7.8180584762688576E-2</v>
      </c>
      <c r="Q34" s="2">
        <v>1.2129905521873173E-2</v>
      </c>
      <c r="R34" s="2">
        <v>1.5077258111429059</v>
      </c>
      <c r="S34" s="59">
        <v>4.2268226558694229E-3</v>
      </c>
      <c r="T34" s="2">
        <v>1.7532833896623612</v>
      </c>
      <c r="U34" s="2">
        <v>6.5543388346349665E-2</v>
      </c>
    </row>
    <row r="35" spans="1:21" x14ac:dyDescent="0.25">
      <c r="A35" s="4">
        <v>2023</v>
      </c>
      <c r="B35" s="4" t="s">
        <v>75</v>
      </c>
      <c r="C35" s="2">
        <v>2.1524385136062842E-2</v>
      </c>
      <c r="D35" s="2">
        <v>1.3875190862716642E-2</v>
      </c>
      <c r="E35" s="2">
        <v>7.649194273346197E-3</v>
      </c>
      <c r="F35" s="2">
        <v>0.67778167695248059</v>
      </c>
      <c r="G35" s="59">
        <v>2.2211554909034275E-3</v>
      </c>
      <c r="H35" s="2">
        <v>0.19861690466586029</v>
      </c>
      <c r="I35" s="2">
        <v>3.7948357349674562E-2</v>
      </c>
      <c r="M35" s="4">
        <v>2023</v>
      </c>
      <c r="N35" s="4" t="s">
        <v>75</v>
      </c>
      <c r="O35" s="2">
        <v>3.3861128941755303E-2</v>
      </c>
      <c r="P35" s="2">
        <v>2.1727967903857854E-2</v>
      </c>
      <c r="Q35" s="2">
        <v>1.2133161037897454E-2</v>
      </c>
      <c r="R35" s="2">
        <v>1.0558171987520355</v>
      </c>
      <c r="S35" s="59">
        <v>3.5067002373679519E-3</v>
      </c>
      <c r="T35" s="2">
        <v>0.29741702665492037</v>
      </c>
      <c r="U35" s="2">
        <v>5.9524187063617048E-2</v>
      </c>
    </row>
    <row r="36" spans="1:21" x14ac:dyDescent="0.25">
      <c r="A36" s="4">
        <v>2023</v>
      </c>
      <c r="B36" t="s">
        <v>76</v>
      </c>
      <c r="C36" s="2">
        <v>4.0889812982616645E-2</v>
      </c>
      <c r="D36" s="2">
        <v>4.0889812982616645E-2</v>
      </c>
      <c r="E36" s="2">
        <v>0</v>
      </c>
      <c r="F36" s="2">
        <v>0.24693859979883429</v>
      </c>
      <c r="G36" s="59">
        <v>4.6857606137656952E-4</v>
      </c>
      <c r="H36" s="2">
        <v>1.0929109268847164</v>
      </c>
      <c r="I36" s="2">
        <v>3.01728443472301E-3</v>
      </c>
      <c r="M36" s="4">
        <v>2023</v>
      </c>
      <c r="N36" t="s">
        <v>76</v>
      </c>
      <c r="O36" s="2">
        <v>5.188302335483902E-2</v>
      </c>
      <c r="P36" s="2">
        <v>5.188302335483902E-2</v>
      </c>
      <c r="Q36" s="2">
        <v>0</v>
      </c>
      <c r="R36" s="2">
        <v>0.32159390238978453</v>
      </c>
      <c r="S36" s="59">
        <v>6.3321428672623759E-4</v>
      </c>
      <c r="T36" s="2">
        <v>1.3783009216269553</v>
      </c>
      <c r="U36" s="2">
        <v>4.7567449632110832E-3</v>
      </c>
    </row>
    <row r="37" spans="1:21" x14ac:dyDescent="0.25">
      <c r="A37" s="4">
        <v>2023</v>
      </c>
      <c r="B37" s="4" t="s">
        <v>77</v>
      </c>
      <c r="C37" s="2">
        <v>6.2414198118679487E-2</v>
      </c>
      <c r="D37" s="2">
        <v>5.4765003845333289E-2</v>
      </c>
      <c r="E37" s="2">
        <v>7.649194273346197E-3</v>
      </c>
      <c r="F37" s="2">
        <v>0.92472027675131485</v>
      </c>
      <c r="G37" s="59">
        <v>2.6897315522799972E-3</v>
      </c>
      <c r="H37" s="2">
        <v>1.2915278315505767</v>
      </c>
      <c r="I37" s="2">
        <v>4.0965641784397572E-2</v>
      </c>
      <c r="M37" s="4">
        <v>2023</v>
      </c>
      <c r="N37" s="4" t="s">
        <v>77</v>
      </c>
      <c r="O37" s="2">
        <v>8.5744152296594323E-2</v>
      </c>
      <c r="P37" s="2">
        <v>7.361099125869687E-2</v>
      </c>
      <c r="Q37" s="2">
        <v>1.2133161037897454E-2</v>
      </c>
      <c r="R37" s="2">
        <v>1.37741110114182</v>
      </c>
      <c r="S37" s="59">
        <v>4.1399145240941897E-3</v>
      </c>
      <c r="T37" s="2">
        <v>1.6757179482818756</v>
      </c>
      <c r="U37" s="2">
        <v>6.4280932026828136E-2</v>
      </c>
    </row>
    <row r="38" spans="1:21" x14ac:dyDescent="0.25">
      <c r="A38" s="4">
        <v>2024</v>
      </c>
      <c r="B38" s="4" t="s">
        <v>75</v>
      </c>
      <c r="C38" s="2">
        <v>2.0388269758006318E-2</v>
      </c>
      <c r="D38" s="2">
        <v>1.2736156356706545E-2</v>
      </c>
      <c r="E38" s="2">
        <v>7.6521134012997689E-3</v>
      </c>
      <c r="F38" s="2">
        <v>0.58768080792065092</v>
      </c>
      <c r="G38" s="59">
        <v>2.173229443263822E-3</v>
      </c>
      <c r="H38" s="2">
        <v>0.17376423701082105</v>
      </c>
      <c r="I38" s="2">
        <v>3.7393883399811569E-2</v>
      </c>
      <c r="M38" s="4">
        <v>2024</v>
      </c>
      <c r="N38" s="4" t="s">
        <v>75</v>
      </c>
      <c r="O38" s="2">
        <v>3.2048013438736041E-2</v>
      </c>
      <c r="P38" s="2">
        <v>1.9910435158553019E-2</v>
      </c>
      <c r="Q38" s="2">
        <v>1.2137578280183017E-2</v>
      </c>
      <c r="R38" s="2">
        <v>0.91178921493564069</v>
      </c>
      <c r="S38" s="59">
        <v>3.4302833141196263E-3</v>
      </c>
      <c r="T38" s="2">
        <v>0.25842464846720198</v>
      </c>
      <c r="U38" s="2">
        <v>5.8611336482639768E-2</v>
      </c>
    </row>
    <row r="39" spans="1:21" x14ac:dyDescent="0.25">
      <c r="A39" s="4">
        <v>2024</v>
      </c>
      <c r="B39" t="s">
        <v>76</v>
      </c>
      <c r="C39" s="2">
        <v>3.8478229987148206E-2</v>
      </c>
      <c r="D39" s="2">
        <v>3.8478229987148206E-2</v>
      </c>
      <c r="E39" s="2">
        <v>0</v>
      </c>
      <c r="F39" s="2">
        <v>0.2369705983805514</v>
      </c>
      <c r="G39" s="59">
        <v>4.6404522415002678E-4</v>
      </c>
      <c r="H39" s="2">
        <v>1.0564689097396984</v>
      </c>
      <c r="I39" s="2">
        <v>2.9690224183803607E-3</v>
      </c>
      <c r="M39" s="4">
        <v>2024</v>
      </c>
      <c r="N39" t="s">
        <v>76</v>
      </c>
      <c r="O39" s="2">
        <v>4.8809944778268645E-2</v>
      </c>
      <c r="P39" s="2">
        <v>4.8809944778268645E-2</v>
      </c>
      <c r="Q39" s="2">
        <v>0</v>
      </c>
      <c r="R39" s="2">
        <v>0.30812937872078494</v>
      </c>
      <c r="S39" s="59">
        <v>6.2649996652537556E-4</v>
      </c>
      <c r="T39" s="2">
        <v>1.3322138757093802</v>
      </c>
      <c r="U39" s="2">
        <v>4.6784831658279319E-3</v>
      </c>
    </row>
    <row r="40" spans="1:21" x14ac:dyDescent="0.25">
      <c r="A40" s="4">
        <v>2024</v>
      </c>
      <c r="B40" s="4" t="s">
        <v>77</v>
      </c>
      <c r="C40" s="2">
        <v>5.8866499745154524E-2</v>
      </c>
      <c r="D40" s="2">
        <v>5.1214386343854751E-2</v>
      </c>
      <c r="E40" s="2">
        <v>7.6521134012997689E-3</v>
      </c>
      <c r="F40" s="2">
        <v>0.82465140630120226</v>
      </c>
      <c r="G40" s="59">
        <v>2.6372746674138488E-3</v>
      </c>
      <c r="H40" s="2">
        <v>1.2302331467505194</v>
      </c>
      <c r="I40" s="2">
        <v>4.0362905818191928E-2</v>
      </c>
      <c r="M40" s="4">
        <v>2024</v>
      </c>
      <c r="N40" s="4" t="s">
        <v>77</v>
      </c>
      <c r="O40" s="2">
        <v>8.0857958217004686E-2</v>
      </c>
      <c r="P40" s="2">
        <v>6.872037993682166E-2</v>
      </c>
      <c r="Q40" s="2">
        <v>1.2137578280183017E-2</v>
      </c>
      <c r="R40" s="2">
        <v>1.2199185936564256</v>
      </c>
      <c r="S40" s="59">
        <v>4.0567832806450016E-3</v>
      </c>
      <c r="T40" s="2">
        <v>1.5906385241765821</v>
      </c>
      <c r="U40" s="2">
        <v>6.3289819648467693E-2</v>
      </c>
    </row>
    <row r="41" spans="1:21" x14ac:dyDescent="0.25">
      <c r="A41" s="4">
        <v>2025</v>
      </c>
      <c r="B41" s="4" t="s">
        <v>75</v>
      </c>
      <c r="C41" s="2">
        <v>1.9306354929430457E-2</v>
      </c>
      <c r="D41" s="2">
        <v>1.1639522907148264E-2</v>
      </c>
      <c r="E41" s="2">
        <v>7.6668320222821979E-3</v>
      </c>
      <c r="F41" s="2">
        <v>0.53660147803147684</v>
      </c>
      <c r="G41" s="59">
        <v>2.1287827004734072E-3</v>
      </c>
      <c r="H41" s="2">
        <v>0.16026171127464423</v>
      </c>
      <c r="I41" s="2">
        <v>3.6845752058479016E-2</v>
      </c>
      <c r="M41" s="4">
        <v>2025</v>
      </c>
      <c r="N41" s="4" t="s">
        <v>75</v>
      </c>
      <c r="O41" s="2">
        <v>3.0358042502122536E-2</v>
      </c>
      <c r="P41" s="2">
        <v>1.8196987660810123E-2</v>
      </c>
      <c r="Q41" s="2">
        <v>1.216105484131242E-2</v>
      </c>
      <c r="R41" s="2">
        <v>0.83091251929441168</v>
      </c>
      <c r="S41" s="59">
        <v>3.3595593552627435E-3</v>
      </c>
      <c r="T41" s="2">
        <v>0.23765014433285447</v>
      </c>
      <c r="U41" s="2">
        <v>5.7709361442359712E-2</v>
      </c>
    </row>
    <row r="42" spans="1:21" x14ac:dyDescent="0.25">
      <c r="A42" s="4">
        <v>2025</v>
      </c>
      <c r="B42" t="s">
        <v>76</v>
      </c>
      <c r="C42" s="2">
        <v>3.6739275529008193E-2</v>
      </c>
      <c r="D42" s="2">
        <v>3.6739275529008193E-2</v>
      </c>
      <c r="E42" s="2">
        <v>0</v>
      </c>
      <c r="F42" s="2">
        <v>0.22918738478748829</v>
      </c>
      <c r="G42" s="59">
        <v>4.6012647041032803E-4</v>
      </c>
      <c r="H42" s="2">
        <v>1.0230902064851897</v>
      </c>
      <c r="I42" s="2">
        <v>2.9229451759222556E-3</v>
      </c>
      <c r="M42" s="4">
        <v>2025</v>
      </c>
      <c r="N42" t="s">
        <v>76</v>
      </c>
      <c r="O42" s="2">
        <v>4.6588091954490748E-2</v>
      </c>
      <c r="P42" s="2">
        <v>4.6588091954490748E-2</v>
      </c>
      <c r="Q42" s="2">
        <v>0</v>
      </c>
      <c r="R42" s="2">
        <v>0.29800438556886438</v>
      </c>
      <c r="S42" s="59">
        <v>6.2060924079425427E-4</v>
      </c>
      <c r="T42" s="2">
        <v>1.2898810154887632</v>
      </c>
      <c r="U42" s="2">
        <v>4.6035935876933736E-3</v>
      </c>
    </row>
    <row r="43" spans="1:21" x14ac:dyDescent="0.25">
      <c r="A43" s="4">
        <v>2025</v>
      </c>
      <c r="B43" s="4" t="s">
        <v>77</v>
      </c>
      <c r="C43" s="2">
        <v>5.6045630458438647E-2</v>
      </c>
      <c r="D43" s="2">
        <v>4.8378798436156459E-2</v>
      </c>
      <c r="E43" s="2">
        <v>7.6668320222821979E-3</v>
      </c>
      <c r="F43" s="2">
        <v>0.76578886281896508</v>
      </c>
      <c r="G43" s="59">
        <v>2.5889091708837355E-3</v>
      </c>
      <c r="H43" s="2">
        <v>1.1833519177598339</v>
      </c>
      <c r="I43" s="2">
        <v>3.9768697234401268E-2</v>
      </c>
      <c r="M43" s="4">
        <v>2025</v>
      </c>
      <c r="N43" s="4" t="s">
        <v>77</v>
      </c>
      <c r="O43" s="2">
        <v>7.6946134456613288E-2</v>
      </c>
      <c r="P43" s="2">
        <v>6.4785079615300875E-2</v>
      </c>
      <c r="Q43" s="2">
        <v>1.216105484131242E-2</v>
      </c>
      <c r="R43" s="2">
        <v>1.1289169048632761</v>
      </c>
      <c r="S43" s="59">
        <v>3.9801685960569981E-3</v>
      </c>
      <c r="T43" s="2">
        <v>1.5275311598216177</v>
      </c>
      <c r="U43" s="2">
        <v>6.2312955030053088E-2</v>
      </c>
    </row>
    <row r="44" spans="1:21" x14ac:dyDescent="0.25">
      <c r="A44" s="4">
        <v>2026</v>
      </c>
      <c r="B44" s="4" t="s">
        <v>75</v>
      </c>
      <c r="C44" s="2">
        <v>1.8288612990295813E-2</v>
      </c>
      <c r="D44" s="2">
        <v>1.0608844069988729E-2</v>
      </c>
      <c r="E44" s="2">
        <v>7.6797689203070806E-3</v>
      </c>
      <c r="F44" s="2">
        <v>0.4667217254504899</v>
      </c>
      <c r="G44" s="59">
        <v>2.0851859663243992E-3</v>
      </c>
      <c r="H44" s="2">
        <v>0.13085868412693671</v>
      </c>
      <c r="I44" s="2">
        <v>3.5503027122592103E-2</v>
      </c>
      <c r="M44" s="4">
        <v>2026</v>
      </c>
      <c r="N44" s="4" t="s">
        <v>75</v>
      </c>
      <c r="O44" s="2">
        <v>2.8738807520037424E-2</v>
      </c>
      <c r="P44" s="2">
        <v>1.655735402164081E-2</v>
      </c>
      <c r="Q44" s="2">
        <v>1.2181453498396609E-2</v>
      </c>
      <c r="R44" s="2">
        <v>0.71932210295001131</v>
      </c>
      <c r="S44" s="59">
        <v>3.290083172385651E-3</v>
      </c>
      <c r="T44" s="2">
        <v>0.19147659225214331</v>
      </c>
      <c r="U44" s="2">
        <v>5.5545191064724685E-2</v>
      </c>
    </row>
    <row r="45" spans="1:21" x14ac:dyDescent="0.25">
      <c r="A45" s="4">
        <v>2026</v>
      </c>
      <c r="B45" t="s">
        <v>76</v>
      </c>
      <c r="C45" s="2">
        <v>3.5491336166038917E-2</v>
      </c>
      <c r="D45" s="2">
        <v>3.5491336166038917E-2</v>
      </c>
      <c r="E45" s="2">
        <v>0</v>
      </c>
      <c r="F45" s="2">
        <v>0.21928982011511294</v>
      </c>
      <c r="G45" s="59">
        <v>4.5587005861375148E-4</v>
      </c>
      <c r="H45" s="2">
        <v>0.98792478665454442</v>
      </c>
      <c r="I45" s="2">
        <v>2.819337221035579E-3</v>
      </c>
      <c r="M45" s="4">
        <v>2026</v>
      </c>
      <c r="N45" t="s">
        <v>76</v>
      </c>
      <c r="O45" s="2">
        <v>4.499052136036278E-2</v>
      </c>
      <c r="P45" s="2">
        <v>4.499052136036278E-2</v>
      </c>
      <c r="Q45" s="2">
        <v>0</v>
      </c>
      <c r="R45" s="2">
        <v>0.28491771301186147</v>
      </c>
      <c r="S45" s="59">
        <v>6.1428451793707104E-4</v>
      </c>
      <c r="T45" s="2">
        <v>1.2441815290222189</v>
      </c>
      <c r="U45" s="2">
        <v>4.4372706992282223E-3</v>
      </c>
    </row>
    <row r="46" spans="1:21" x14ac:dyDescent="0.25">
      <c r="A46" s="4">
        <v>2026</v>
      </c>
      <c r="B46" s="4" t="s">
        <v>77</v>
      </c>
      <c r="C46" s="2">
        <v>5.377994915633473E-2</v>
      </c>
      <c r="D46" s="2">
        <v>4.6100180236027646E-2</v>
      </c>
      <c r="E46" s="2">
        <v>7.6797689203070806E-3</v>
      </c>
      <c r="F46" s="2">
        <v>0.68601154556560284</v>
      </c>
      <c r="G46" s="59">
        <v>2.5410560249381508E-3</v>
      </c>
      <c r="H46" s="2">
        <v>1.1187834707814812</v>
      </c>
      <c r="I46" s="2">
        <v>3.832236434362768E-2</v>
      </c>
      <c r="M46" s="4">
        <v>2026</v>
      </c>
      <c r="N46" s="4" t="s">
        <v>77</v>
      </c>
      <c r="O46" s="2">
        <v>7.3729328880400208E-2</v>
      </c>
      <c r="P46" s="2">
        <v>6.154787538200359E-2</v>
      </c>
      <c r="Q46" s="2">
        <v>1.2181453498396609E-2</v>
      </c>
      <c r="R46" s="2">
        <v>1.0042398159618728</v>
      </c>
      <c r="S46" s="59">
        <v>3.9043676903227219E-3</v>
      </c>
      <c r="T46" s="2">
        <v>1.4356581212743622</v>
      </c>
      <c r="U46" s="2">
        <v>5.9982461763952909E-2</v>
      </c>
    </row>
    <row r="47" spans="1:21" x14ac:dyDescent="0.25">
      <c r="A47" s="4">
        <v>2027</v>
      </c>
      <c r="B47" s="4" t="s">
        <v>75</v>
      </c>
      <c r="C47" s="256">
        <v>1.7294830642720683E-2</v>
      </c>
      <c r="D47" s="256">
        <v>9.6011242321740568E-3</v>
      </c>
      <c r="E47" s="256">
        <v>7.6937064105466269E-3</v>
      </c>
      <c r="F47" s="2">
        <v>0.43484772588573622</v>
      </c>
      <c r="G47" s="59">
        <v>2.048926454382869E-3</v>
      </c>
      <c r="H47" s="2">
        <v>0.12012423886095822</v>
      </c>
      <c r="I47" s="2">
        <v>3.5246076138955883E-2</v>
      </c>
      <c r="M47" s="4">
        <v>2027</v>
      </c>
      <c r="N47" s="4" t="s">
        <v>75</v>
      </c>
      <c r="O47" s="256">
        <v>2.7150063310242258E-2</v>
      </c>
      <c r="P47" s="256">
        <v>1.4946599480957404E-2</v>
      </c>
      <c r="Q47" s="256">
        <v>1.220346382928485E-2</v>
      </c>
      <c r="R47" s="2">
        <v>0.66857588968391224</v>
      </c>
      <c r="S47" s="59">
        <v>3.2324617356713713E-3</v>
      </c>
      <c r="T47" s="2">
        <v>0.17511580275079561</v>
      </c>
      <c r="U47" s="2">
        <v>5.5109282651166401E-2</v>
      </c>
    </row>
    <row r="48" spans="1:21" x14ac:dyDescent="0.25">
      <c r="A48" s="4">
        <v>2027</v>
      </c>
      <c r="B48" t="s">
        <v>76</v>
      </c>
      <c r="C48" s="256">
        <v>3.4317560629438013E-2</v>
      </c>
      <c r="D48" s="256">
        <v>3.4317560629438013E-2</v>
      </c>
      <c r="E48" s="256">
        <v>0</v>
      </c>
      <c r="F48" s="2">
        <v>0.21313306288968326</v>
      </c>
      <c r="G48" s="59">
        <v>4.5277425454842864E-4</v>
      </c>
      <c r="H48" s="2">
        <v>0.96468678243505745</v>
      </c>
      <c r="I48" s="2">
        <v>2.7952206537177121E-3</v>
      </c>
      <c r="M48" s="4">
        <v>2027</v>
      </c>
      <c r="N48" t="s">
        <v>76</v>
      </c>
      <c r="O48" s="256">
        <v>4.3475527515717066E-2</v>
      </c>
      <c r="P48" s="256">
        <v>4.3475527515717066E-2</v>
      </c>
      <c r="Q48" s="256">
        <v>0</v>
      </c>
      <c r="R48" s="2">
        <v>0.27677055953946972</v>
      </c>
      <c r="S48" s="59">
        <v>6.0963539391574104E-4</v>
      </c>
      <c r="T48" s="2">
        <v>1.2147503839758382</v>
      </c>
      <c r="U48" s="2">
        <v>4.3974901431621059E-3</v>
      </c>
    </row>
    <row r="49" spans="1:21" x14ac:dyDescent="0.25">
      <c r="A49" s="4">
        <v>2027</v>
      </c>
      <c r="B49" s="4" t="s">
        <v>77</v>
      </c>
      <c r="C49" s="256">
        <v>5.1612391272158692E-2</v>
      </c>
      <c r="D49" s="256">
        <v>4.3918684861612073E-2</v>
      </c>
      <c r="E49" s="256">
        <v>7.6937064105466269E-3</v>
      </c>
      <c r="F49" s="2">
        <v>0.64798078877541943</v>
      </c>
      <c r="G49" s="59">
        <v>2.5017007089312977E-3</v>
      </c>
      <c r="H49" s="2">
        <v>1.0848110212960156</v>
      </c>
      <c r="I49" s="2">
        <v>3.8041296792673596E-2</v>
      </c>
      <c r="M49" s="4">
        <v>2027</v>
      </c>
      <c r="N49" s="4" t="s">
        <v>77</v>
      </c>
      <c r="O49" s="256">
        <v>7.0625590825959317E-2</v>
      </c>
      <c r="P49" s="256">
        <v>5.842212699667447E-2</v>
      </c>
      <c r="Q49" s="256">
        <v>1.220346382928485E-2</v>
      </c>
      <c r="R49" s="2">
        <v>0.94534644922338196</v>
      </c>
      <c r="S49" s="59">
        <v>3.8420971295871124E-3</v>
      </c>
      <c r="T49" s="2">
        <v>1.3898661867266338</v>
      </c>
      <c r="U49" s="2">
        <v>5.9506772794328505E-2</v>
      </c>
    </row>
    <row r="50" spans="1:21" x14ac:dyDescent="0.25">
      <c r="A50" s="4">
        <v>2028</v>
      </c>
      <c r="B50" s="4" t="s">
        <v>75</v>
      </c>
      <c r="C50" s="2">
        <v>1.512597910175735E-2</v>
      </c>
      <c r="D50" s="2">
        <v>7.4182856770610402E-3</v>
      </c>
      <c r="E50" s="2">
        <v>7.7076934246963101E-3</v>
      </c>
      <c r="F50" s="2">
        <v>0.39395272555971994</v>
      </c>
      <c r="G50" s="59">
        <v>2.013088601693587E-3</v>
      </c>
      <c r="H50" s="2">
        <v>0.11054170968278541</v>
      </c>
      <c r="I50" s="2">
        <v>3.518554275578982E-2</v>
      </c>
      <c r="M50" s="4">
        <v>2028</v>
      </c>
      <c r="N50" s="4" t="s">
        <v>75</v>
      </c>
      <c r="O50" s="2">
        <v>2.3693531080149925E-2</v>
      </c>
      <c r="P50" s="2">
        <v>1.1467747788907494E-2</v>
      </c>
      <c r="Q50" s="2">
        <v>1.2225783291242439E-2</v>
      </c>
      <c r="R50" s="2">
        <v>0.60336177805280911</v>
      </c>
      <c r="S50" s="59">
        <v>3.1754535893310483E-3</v>
      </c>
      <c r="T50" s="2">
        <v>0.16051982724587413</v>
      </c>
      <c r="U50" s="2">
        <v>5.4987803492360883E-2</v>
      </c>
    </row>
    <row r="51" spans="1:21" x14ac:dyDescent="0.25">
      <c r="A51" s="4">
        <v>2028</v>
      </c>
      <c r="B51" t="s">
        <v>76</v>
      </c>
      <c r="C51" s="2">
        <v>3.3774328828330348E-2</v>
      </c>
      <c r="D51" s="2">
        <v>3.3774328828330348E-2</v>
      </c>
      <c r="E51" s="2">
        <v>0</v>
      </c>
      <c r="F51" s="2">
        <v>0.20718227505070444</v>
      </c>
      <c r="G51" s="59">
        <v>4.5000677250821243E-4</v>
      </c>
      <c r="H51" s="2">
        <v>0.94956100491447004</v>
      </c>
      <c r="I51" s="2">
        <v>2.7860686358332004E-3</v>
      </c>
      <c r="M51" s="4">
        <v>2028</v>
      </c>
      <c r="N51" t="s">
        <v>76</v>
      </c>
      <c r="O51" s="2">
        <v>4.2748249466194634E-2</v>
      </c>
      <c r="P51" s="2">
        <v>4.2748249466194634E-2</v>
      </c>
      <c r="Q51" s="2">
        <v>0</v>
      </c>
      <c r="R51" s="2">
        <v>0.26860287432967667</v>
      </c>
      <c r="S51" s="59">
        <v>6.0542693440679342E-4</v>
      </c>
      <c r="T51" s="2">
        <v>1.1956383814941323</v>
      </c>
      <c r="U51" s="2">
        <v>4.381656222468844E-3</v>
      </c>
    </row>
    <row r="52" spans="1:21" x14ac:dyDescent="0.25">
      <c r="A52" s="4">
        <v>2028</v>
      </c>
      <c r="B52" s="4" t="s">
        <v>77</v>
      </c>
      <c r="C52" s="2">
        <v>4.8900307930087698E-2</v>
      </c>
      <c r="D52" s="2">
        <v>4.1192614505391391E-2</v>
      </c>
      <c r="E52" s="2">
        <v>7.7076934246963101E-3</v>
      </c>
      <c r="F52" s="2">
        <v>0.60113500061042435</v>
      </c>
      <c r="G52" s="59">
        <v>2.4630953742017995E-3</v>
      </c>
      <c r="H52" s="2">
        <v>1.0601027145972555</v>
      </c>
      <c r="I52" s="2">
        <v>3.7971611391623021E-2</v>
      </c>
      <c r="M52" s="4">
        <v>2028</v>
      </c>
      <c r="N52" s="4" t="s">
        <v>77</v>
      </c>
      <c r="O52" s="2">
        <v>6.6441780546344559E-2</v>
      </c>
      <c r="P52" s="2">
        <v>5.4215997255102129E-2</v>
      </c>
      <c r="Q52" s="2">
        <v>1.2225783291242439E-2</v>
      </c>
      <c r="R52" s="2">
        <v>0.87196465238248577</v>
      </c>
      <c r="S52" s="59">
        <v>3.7808805237378416E-3</v>
      </c>
      <c r="T52" s="2">
        <v>1.3561582087400064</v>
      </c>
      <c r="U52" s="2">
        <v>5.936945971482973E-2</v>
      </c>
    </row>
    <row r="53" spans="1:21" x14ac:dyDescent="0.25">
      <c r="A53" s="4">
        <v>2029</v>
      </c>
      <c r="B53" s="4" t="s">
        <v>75</v>
      </c>
      <c r="C53" s="2">
        <v>1.5184774407607923E-2</v>
      </c>
      <c r="D53" s="2">
        <v>7.3565488148780184E-3</v>
      </c>
      <c r="E53" s="2">
        <v>7.828225592729901E-3</v>
      </c>
      <c r="F53" s="2">
        <v>0.35893443362314398</v>
      </c>
      <c r="G53" s="59">
        <v>2.0086784849324222E-3</v>
      </c>
      <c r="H53" s="2">
        <v>0.10463109302398574</v>
      </c>
      <c r="I53" s="2">
        <v>3.5394775554796511E-2</v>
      </c>
      <c r="M53" s="4">
        <v>2029</v>
      </c>
      <c r="N53" s="4" t="s">
        <v>75</v>
      </c>
      <c r="O53" s="2">
        <v>2.3786589226792904E-2</v>
      </c>
      <c r="P53" s="2">
        <v>1.1368750933118447E-2</v>
      </c>
      <c r="Q53" s="2">
        <v>1.2417838293674459E-2</v>
      </c>
      <c r="R53" s="2">
        <v>0.54721925912035951</v>
      </c>
      <c r="S53" s="59">
        <v>3.1685896409354578E-3</v>
      </c>
      <c r="T53" s="2">
        <v>0.15192611469739772</v>
      </c>
      <c r="U53" s="2">
        <v>5.5294499185105928E-2</v>
      </c>
    </row>
    <row r="54" spans="1:21" x14ac:dyDescent="0.25">
      <c r="A54" s="4">
        <v>2029</v>
      </c>
      <c r="B54" t="s">
        <v>76</v>
      </c>
      <c r="C54" s="2">
        <v>3.3312317315098962E-2</v>
      </c>
      <c r="D54" s="2">
        <v>3.3312317315098962E-2</v>
      </c>
      <c r="E54" s="2">
        <v>0</v>
      </c>
      <c r="F54" s="2">
        <v>0.20654400974079712</v>
      </c>
      <c r="G54" s="59">
        <v>4.5349300610683847E-4</v>
      </c>
      <c r="H54" s="2">
        <v>0.94250455916293996</v>
      </c>
      <c r="I54" s="2">
        <v>2.801843727427649E-3</v>
      </c>
      <c r="M54" s="4">
        <v>2029</v>
      </c>
      <c r="N54" t="s">
        <v>76</v>
      </c>
      <c r="O54" s="2">
        <v>4.2179300040546264E-2</v>
      </c>
      <c r="P54" s="2">
        <v>4.2179300040546264E-2</v>
      </c>
      <c r="Q54" s="2">
        <v>0</v>
      </c>
      <c r="R54" s="2">
        <v>0.26803314611944679</v>
      </c>
      <c r="S54" s="59">
        <v>6.0968965338833493E-4</v>
      </c>
      <c r="T54" s="2">
        <v>1.186727844138054</v>
      </c>
      <c r="U54" s="2">
        <v>4.4055174120913188E-3</v>
      </c>
    </row>
    <row r="55" spans="1:21" x14ac:dyDescent="0.25">
      <c r="A55" s="4">
        <v>2029</v>
      </c>
      <c r="B55" s="4" t="s">
        <v>77</v>
      </c>
      <c r="C55" s="2">
        <v>4.8497091722706887E-2</v>
      </c>
      <c r="D55" s="2">
        <v>4.0668866129976979E-2</v>
      </c>
      <c r="E55" s="2">
        <v>7.828225592729901E-3</v>
      </c>
      <c r="F55" s="2">
        <v>0.56547844336394104</v>
      </c>
      <c r="G55" s="59">
        <v>2.4621714910392604E-3</v>
      </c>
      <c r="H55" s="2">
        <v>1.0471356521869257</v>
      </c>
      <c r="I55" s="2">
        <v>3.8196619282224162E-2</v>
      </c>
      <c r="M55" s="4">
        <v>2029</v>
      </c>
      <c r="N55" s="4" t="s">
        <v>77</v>
      </c>
      <c r="O55" s="2">
        <v>6.5965889267339164E-2</v>
      </c>
      <c r="P55" s="2">
        <v>5.3548050973664711E-2</v>
      </c>
      <c r="Q55" s="2">
        <v>1.2417838293674459E-2</v>
      </c>
      <c r="R55" s="2">
        <v>0.81525240523980624</v>
      </c>
      <c r="S55" s="59">
        <v>3.7782792943237926E-3</v>
      </c>
      <c r="T55" s="2">
        <v>1.3386539588354518</v>
      </c>
      <c r="U55" s="2">
        <v>5.9700016597197245E-2</v>
      </c>
    </row>
  </sheetData>
  <sheetProtection algorithmName="SHA-512" hashValue="MDO2U4ps/QWFR96qFHZL2J9AxBaG0m6bQtMIoroeKjK1M2Lf+QcEB86SKknJnks230zZNCg/jyvuMHnA7rmffg==" saltValue="ZBg2ZjxLzFIMwUHr27radg==" spinCount="100000" sheet="1" objects="1" scenarios="1"/>
  <mergeCells count="16">
    <mergeCell ref="A21:K21"/>
    <mergeCell ref="C24:I24"/>
    <mergeCell ref="A1:K1"/>
    <mergeCell ref="A2:K2"/>
    <mergeCell ref="C5:I5"/>
    <mergeCell ref="J5:K5"/>
    <mergeCell ref="A19:K19"/>
    <mergeCell ref="A20:K20"/>
    <mergeCell ref="M20:W20"/>
    <mergeCell ref="M21:W21"/>
    <mergeCell ref="O24:U24"/>
    <mergeCell ref="M1:W1"/>
    <mergeCell ref="M2:W2"/>
    <mergeCell ref="O5:U5"/>
    <mergeCell ref="V5:W5"/>
    <mergeCell ref="M19:W19"/>
  </mergeCells>
  <printOptions horizontalCentered="1" gridLines="1"/>
  <pageMargins left="0.25" right="0.25" top="0.75" bottom="0.75" header="0.3" footer="0.3"/>
  <pageSetup scale="74" orientation="landscape" r:id="rId1"/>
  <headerFooter>
    <oddHeader>&amp;F</oddHead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184FF-0FE3-4F5F-946B-71D23003CD34}">
  <sheetPr codeName="Sheet12"/>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88</v>
      </c>
      <c r="B1" s="285"/>
      <c r="C1" s="285"/>
      <c r="D1" s="285"/>
      <c r="E1" s="285"/>
      <c r="F1" s="285"/>
      <c r="G1" s="285"/>
      <c r="H1" s="285"/>
      <c r="I1" s="285"/>
      <c r="J1" s="285"/>
      <c r="K1" s="285"/>
    </row>
    <row r="2" spans="1:28" x14ac:dyDescent="0.25">
      <c r="P2" s="63" t="s">
        <v>78</v>
      </c>
      <c r="Q2" s="64">
        <v>0.92979999999999996</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0.11409577588764884</v>
      </c>
      <c r="C5" s="67">
        <v>0.36092707252828565</v>
      </c>
      <c r="D5" s="67">
        <v>2.8463398234057986E-2</v>
      </c>
      <c r="E5" s="67">
        <v>2.1197162912941954</v>
      </c>
      <c r="F5" s="67">
        <v>4.6772548933228297E-2</v>
      </c>
      <c r="G5" s="67">
        <v>0.18350417720520121</v>
      </c>
      <c r="H5" s="67">
        <v>1.2365001822449586</v>
      </c>
      <c r="I5" s="67">
        <v>0.67045469555427595</v>
      </c>
      <c r="J5" s="67">
        <v>2.2985325717898895</v>
      </c>
      <c r="K5" s="67">
        <v>5.0813496792690559E-2</v>
      </c>
      <c r="L5" s="62" t="s">
        <v>81</v>
      </c>
      <c r="R5" s="67">
        <v>0.12271001923816825</v>
      </c>
      <c r="S5" s="67">
        <v>0.38817710532188177</v>
      </c>
      <c r="T5" s="67">
        <v>3.0612387861968151E-2</v>
      </c>
      <c r="U5" s="67">
        <v>2.2797550992624172</v>
      </c>
      <c r="V5" s="67">
        <v>5.0303881408075179E-2</v>
      </c>
      <c r="W5" s="67">
        <v>0.18350417720520121</v>
      </c>
      <c r="X5" s="67">
        <v>1.2365001822449586</v>
      </c>
      <c r="Y5" s="67">
        <v>0.67045469555427595</v>
      </c>
      <c r="Z5" s="67">
        <v>2.2985325717898895</v>
      </c>
      <c r="AA5" s="67">
        <v>5.0813496792690559E-2</v>
      </c>
    </row>
    <row r="6" spans="1:28" x14ac:dyDescent="0.25">
      <c r="A6" s="68" t="s">
        <v>9</v>
      </c>
      <c r="B6" s="67">
        <v>8.8138951031249135E-2</v>
      </c>
      <c r="C6" s="67">
        <v>0.20624595918144029</v>
      </c>
      <c r="D6" s="67">
        <v>2.1974913207747594E-3</v>
      </c>
      <c r="E6" s="67">
        <v>2.6404550233515014</v>
      </c>
      <c r="F6" s="67">
        <v>1.4169940681122354E-3</v>
      </c>
      <c r="G6" s="67">
        <v>0.10898675125071842</v>
      </c>
      <c r="H6" s="67">
        <v>0.24906879201570559</v>
      </c>
      <c r="I6" s="67">
        <v>2.3634021518334691E-3</v>
      </c>
      <c r="J6" s="67">
        <v>3.3012009908670108</v>
      </c>
      <c r="K6" s="67">
        <v>1.7699423629053976E-3</v>
      </c>
      <c r="L6" s="62" t="s">
        <v>82</v>
      </c>
      <c r="R6" s="67">
        <v>9.4793451313453583E-2</v>
      </c>
      <c r="S6" s="67">
        <v>0.22181755128139416</v>
      </c>
      <c r="T6" s="67">
        <v>2.3634021518334691E-3</v>
      </c>
      <c r="U6" s="67">
        <v>2.8398096615955062</v>
      </c>
      <c r="V6" s="67">
        <v>1.5239772726524366E-3</v>
      </c>
      <c r="W6" s="67">
        <v>0.10898675125071842</v>
      </c>
      <c r="X6" s="67">
        <v>0.24906879201570559</v>
      </c>
      <c r="Y6" s="67">
        <v>2.3634021518334691E-3</v>
      </c>
      <c r="Z6" s="67">
        <v>3.3012009908670108</v>
      </c>
      <c r="AA6" s="67">
        <v>1.7699423629053976E-3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0.11865262133751975</v>
      </c>
      <c r="C8" s="67">
        <v>0.43349282211779516</v>
      </c>
      <c r="D8" s="67">
        <v>5.441017075551505</v>
      </c>
      <c r="E8" s="67">
        <v>0.15486373885348079</v>
      </c>
      <c r="F8" s="67">
        <v>0</v>
      </c>
      <c r="G8" s="67">
        <v>0.19307237029142885</v>
      </c>
      <c r="H8" s="67">
        <v>0.65308055864038062</v>
      </c>
      <c r="I8" s="67">
        <v>8.27450154155013</v>
      </c>
      <c r="J8" s="67">
        <v>0.30708603691207981</v>
      </c>
      <c r="K8" s="67">
        <v>0</v>
      </c>
      <c r="L8" s="62" t="s">
        <v>169</v>
      </c>
      <c r="W8" s="67">
        <v>0.37895184835631429</v>
      </c>
      <c r="X8" s="67">
        <v>1.2818306650961198</v>
      </c>
      <c r="Y8" s="67">
        <v>16.240737339395451</v>
      </c>
      <c r="Z8" s="67">
        <v>0.60273161362547434</v>
      </c>
      <c r="AA8" s="67">
        <v>0</v>
      </c>
      <c r="AB8" s="62" t="s">
        <v>86</v>
      </c>
    </row>
    <row r="9" spans="1:28" x14ac:dyDescent="0.25">
      <c r="A9" s="62" t="s">
        <v>87</v>
      </c>
      <c r="B9" s="67">
        <v>0.20857435808764996</v>
      </c>
      <c r="C9" s="67">
        <v>0.71884939813887139</v>
      </c>
      <c r="D9" s="67">
        <v>5.4432895925045406</v>
      </c>
      <c r="E9" s="67">
        <v>2.7983479796425144</v>
      </c>
      <c r="F9" s="67">
        <v>1.483324700422227E-3</v>
      </c>
      <c r="G9" s="67">
        <v>0.3154827975491139</v>
      </c>
      <c r="H9" s="67">
        <v>1.4978212129105444</v>
      </c>
      <c r="I9" s="67">
        <v>8.2774298572353313</v>
      </c>
      <c r="J9" s="67">
        <v>3.6310958449046886</v>
      </c>
      <c r="K9" s="67">
        <v>2.269385962905397E-3</v>
      </c>
      <c r="R9" s="67"/>
      <c r="S9" s="67"/>
      <c r="T9" s="67"/>
      <c r="U9" s="67"/>
      <c r="V9" s="67"/>
    </row>
  </sheetData>
  <sheetProtection algorithmName="SHA-512" hashValue="83Vf9+DL7EithdrMY8Ty226Pu6CuqLSJOJH/TcHu7T8Osoy7/6nUrb3D+dWSWu2lQ9qw70b7GcGHaqUGdzLcJQ==" saltValue="CKgg3BzN6mrIe2I8mKlIGQ==" spinCount="100000" sheet="1" objects="1" scenarios="1"/>
  <mergeCells count="5">
    <mergeCell ref="B3:F3"/>
    <mergeCell ref="G3:K3"/>
    <mergeCell ref="R3:V3"/>
    <mergeCell ref="W3:AA3"/>
    <mergeCell ref="A1:K1"/>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259D-D54E-48D4-9359-FE6209F47525}">
  <sheetPr codeName="Sheet13"/>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103</v>
      </c>
      <c r="B1" s="285"/>
      <c r="C1" s="285"/>
      <c r="D1" s="285"/>
      <c r="E1" s="285"/>
      <c r="F1" s="285"/>
      <c r="G1" s="285"/>
      <c r="H1" s="285"/>
      <c r="I1" s="285"/>
      <c r="J1" s="285"/>
      <c r="K1" s="285"/>
    </row>
    <row r="2" spans="1:28" x14ac:dyDescent="0.25">
      <c r="P2" s="63" t="s">
        <v>78</v>
      </c>
      <c r="Q2" s="64">
        <v>0.92996999999999996</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0.11560730030618761</v>
      </c>
      <c r="C5" s="67">
        <v>0.36570858244128562</v>
      </c>
      <c r="D5" s="67">
        <v>2.8840477237471199E-2</v>
      </c>
      <c r="E5" s="67">
        <v>2.1477979876562117</v>
      </c>
      <c r="F5" s="67">
        <v>4.7392184930090189E-2</v>
      </c>
      <c r="G5" s="67">
        <v>0.18593521413528583</v>
      </c>
      <c r="H5" s="67">
        <v>1.2528811587048698</v>
      </c>
      <c r="I5" s="67">
        <v>0.67933678287056865</v>
      </c>
      <c r="J5" s="67">
        <v>2.3289832005010545</v>
      </c>
      <c r="K5" s="67">
        <v>5.1486666685230005E-2</v>
      </c>
      <c r="L5" s="62" t="s">
        <v>81</v>
      </c>
      <c r="R5" s="67">
        <v>0.12433566391287118</v>
      </c>
      <c r="S5" s="67">
        <v>0.39331961974756469</v>
      </c>
      <c r="T5" s="67">
        <v>3.1017936370693912E-2</v>
      </c>
      <c r="U5" s="67">
        <v>2.3099569667199522</v>
      </c>
      <c r="V5" s="67">
        <v>5.0970299989342001E-2</v>
      </c>
      <c r="W5" s="67">
        <v>0.18593521413528583</v>
      </c>
      <c r="X5" s="67">
        <v>1.2528811587048698</v>
      </c>
      <c r="Y5" s="67">
        <v>0.67933678287056865</v>
      </c>
      <c r="Z5" s="67">
        <v>2.3289832005010545</v>
      </c>
      <c r="AA5" s="67">
        <v>5.1486666685230005E-2</v>
      </c>
    </row>
    <row r="6" spans="1:28" x14ac:dyDescent="0.25">
      <c r="A6" s="68" t="s">
        <v>9</v>
      </c>
      <c r="B6" s="67">
        <v>8.6265533310814463E-2</v>
      </c>
      <c r="C6" s="67">
        <v>0.2153215305138243</v>
      </c>
      <c r="D6" s="67">
        <v>2.1974913207747594E-3</v>
      </c>
      <c r="E6" s="67">
        <v>2.5803498278548695</v>
      </c>
      <c r="F6" s="67">
        <v>1.4423814933044175E-3</v>
      </c>
      <c r="G6" s="67">
        <v>0.10625525554055047</v>
      </c>
      <c r="H6" s="67">
        <v>0.25969202348257769</v>
      </c>
      <c r="I6" s="67">
        <v>2.3634021518334691E-3</v>
      </c>
      <c r="J6" s="67">
        <v>3.2131782483135369</v>
      </c>
      <c r="K6" s="67">
        <v>1.7945473039180349E-3</v>
      </c>
      <c r="L6" s="62" t="s">
        <v>82</v>
      </c>
      <c r="R6" s="67">
        <v>9.277859035364E-2</v>
      </c>
      <c r="S6" s="67">
        <v>0.23157832922545096</v>
      </c>
      <c r="T6" s="67">
        <v>2.3634021518334691E-3</v>
      </c>
      <c r="U6" s="67">
        <v>2.7751665173745641</v>
      </c>
      <c r="V6" s="67">
        <v>1.5512814511770461E-3</v>
      </c>
      <c r="W6" s="67">
        <v>0.10625525554055047</v>
      </c>
      <c r="X6" s="67">
        <v>0.25969202348257769</v>
      </c>
      <c r="Y6" s="67">
        <v>2.3634021518334691E-3</v>
      </c>
      <c r="Z6" s="67">
        <v>3.2131782483135369</v>
      </c>
      <c r="AA6" s="67">
        <v>1.7945473039180349E-3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0.11949867241722079</v>
      </c>
      <c r="C8" s="67">
        <v>0.43554210864440557</v>
      </c>
      <c r="D8" s="67">
        <v>5.4760462035408617</v>
      </c>
      <c r="E8" s="67">
        <v>0.15639983223808507</v>
      </c>
      <c r="F8" s="67">
        <v>0</v>
      </c>
      <c r="G8" s="67">
        <v>0.20785615560620707</v>
      </c>
      <c r="H8" s="67">
        <v>0.68926858674461067</v>
      </c>
      <c r="I8" s="67">
        <v>8.7712540390899534</v>
      </c>
      <c r="J8" s="67">
        <v>0.32283825730585647</v>
      </c>
      <c r="K8" s="67">
        <v>0</v>
      </c>
      <c r="W8" s="67">
        <v>0.4079686505133594</v>
      </c>
      <c r="X8" s="67">
        <v>1.3528585398654027</v>
      </c>
      <c r="Y8" s="67">
        <v>17.215735868880479</v>
      </c>
      <c r="Z8" s="67">
        <v>0.63364920698659288</v>
      </c>
      <c r="AA8" s="67">
        <v>0</v>
      </c>
      <c r="AB8" s="62" t="s">
        <v>86</v>
      </c>
    </row>
    <row r="9" spans="1:28" x14ac:dyDescent="0.25">
      <c r="A9" s="62" t="s">
        <v>87</v>
      </c>
      <c r="B9" s="67">
        <v>0.20754699144691635</v>
      </c>
      <c r="C9" s="67">
        <v>0.72997425599786581</v>
      </c>
      <c r="D9" s="67">
        <v>5.4783187204938972</v>
      </c>
      <c r="E9" s="67">
        <v>2.7397788775304868</v>
      </c>
      <c r="F9" s="67">
        <v>1.508712125614409E-3</v>
      </c>
      <c r="G9" s="67">
        <v>0.32753508715372415</v>
      </c>
      <c r="H9" s="67">
        <v>1.5446324724816467</v>
      </c>
      <c r="I9" s="67">
        <v>8.7741823547751547</v>
      </c>
      <c r="J9" s="67">
        <v>3.5588253227449913</v>
      </c>
      <c r="K9" s="67">
        <v>2.2939909039180343E-3</v>
      </c>
      <c r="R9" s="67"/>
      <c r="S9" s="67"/>
      <c r="T9" s="67"/>
      <c r="U9" s="67"/>
      <c r="V9" s="67"/>
    </row>
  </sheetData>
  <sheetProtection algorithmName="SHA-512" hashValue="w1e63rT6lUAusYHwJmj57uNIo2yg8R4Zx7jiHLa7lJJwyp4X1Cnmf4OAHRAB6gyIQALtdU46eH+H59bIL/iwbQ==" saltValue="XXB5eFCKgS4FrinmVuJo6Q==" spinCount="100000" sheet="1" objects="1" scenarios="1"/>
  <mergeCells count="5">
    <mergeCell ref="A1:K1"/>
    <mergeCell ref="B3:F3"/>
    <mergeCell ref="G3:K3"/>
    <mergeCell ref="R3:V3"/>
    <mergeCell ref="W3:AA3"/>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E639-F209-422A-B217-52058BFB921A}">
  <sheetPr codeName="Sheet14"/>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102</v>
      </c>
      <c r="B1" s="285"/>
      <c r="C1" s="285"/>
      <c r="D1" s="285"/>
      <c r="E1" s="285"/>
      <c r="F1" s="285"/>
      <c r="G1" s="285"/>
      <c r="H1" s="285"/>
      <c r="I1" s="285"/>
      <c r="J1" s="285"/>
      <c r="K1" s="285"/>
    </row>
    <row r="2" spans="1:28" x14ac:dyDescent="0.25">
      <c r="P2" s="63" t="s">
        <v>78</v>
      </c>
      <c r="Q2" s="64">
        <v>0.92913000000000001</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0.11752727250541077</v>
      </c>
      <c r="C5" s="67">
        <v>0.37178216351657167</v>
      </c>
      <c r="D5" s="67">
        <v>2.9319451440325311E-2</v>
      </c>
      <c r="E5" s="67">
        <v>2.1834679878631675</v>
      </c>
      <c r="F5" s="67">
        <v>4.8179260463254825E-2</v>
      </c>
      <c r="G5" s="67">
        <v>0.18902317173874902</v>
      </c>
      <c r="H5" s="67">
        <v>1.2736886422052445</v>
      </c>
      <c r="I5" s="67">
        <v>0.69061900928331854</v>
      </c>
      <c r="J5" s="67">
        <v>2.3676622716806137</v>
      </c>
      <c r="K5" s="67">
        <v>5.2341742172716504E-2</v>
      </c>
      <c r="L5" s="62" t="s">
        <v>81</v>
      </c>
      <c r="R5" s="67">
        <v>0.12640059421962871</v>
      </c>
      <c r="S5" s="67">
        <v>0.39985175684724855</v>
      </c>
      <c r="T5" s="67">
        <v>3.1533073177377191E-2</v>
      </c>
      <c r="U5" s="67">
        <v>2.3483200557788422</v>
      </c>
      <c r="V5" s="67">
        <v>5.1816799809910545E-2</v>
      </c>
      <c r="W5" s="67">
        <v>0.18902317173874902</v>
      </c>
      <c r="X5" s="67">
        <v>1.2736886422052445</v>
      </c>
      <c r="Y5" s="67">
        <v>0.69061900928331854</v>
      </c>
      <c r="Z5" s="67">
        <v>2.3676622716806137</v>
      </c>
      <c r="AA5" s="67">
        <v>5.2341742172716504E-2</v>
      </c>
    </row>
    <row r="6" spans="1:28" x14ac:dyDescent="0.25">
      <c r="A6" s="68" t="s">
        <v>9</v>
      </c>
      <c r="B6" s="67">
        <v>8.3898287097375568E-2</v>
      </c>
      <c r="C6" s="67">
        <v>0.22368109619709631</v>
      </c>
      <c r="D6" s="67">
        <v>2.1974913207747594E-3</v>
      </c>
      <c r="E6" s="67">
        <v>2.5104275446539304</v>
      </c>
      <c r="F6" s="67">
        <v>1.4597239967251115E-3</v>
      </c>
      <c r="G6" s="67">
        <v>0.10302082976666783</v>
      </c>
      <c r="H6" s="67">
        <v>0.26949774710618174</v>
      </c>
      <c r="I6" s="67">
        <v>2.3634021518334691E-3</v>
      </c>
      <c r="J6" s="67">
        <v>3.1166355793371654</v>
      </c>
      <c r="K6" s="67">
        <v>1.8106509495346796E-3</v>
      </c>
      <c r="L6" s="62" t="s">
        <v>82</v>
      </c>
      <c r="R6" s="67">
        <v>9.0232616796489112E-2</v>
      </c>
      <c r="S6" s="67">
        <v>0.2405690430168814</v>
      </c>
      <c r="T6" s="67">
        <v>2.3634021518334691E-3</v>
      </c>
      <c r="U6" s="67">
        <v>2.6999650942718119</v>
      </c>
      <c r="V6" s="67">
        <v>1.569933315471189E-3</v>
      </c>
      <c r="W6" s="67">
        <v>0.10302082976666783</v>
      </c>
      <c r="X6" s="67">
        <v>0.26949774710618174</v>
      </c>
      <c r="Y6" s="67">
        <v>2.3634021518334691E-3</v>
      </c>
      <c r="Z6" s="67">
        <v>3.1166355793371654</v>
      </c>
      <c r="AA6" s="67">
        <v>1.8106509495346796E-3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0.12035487610987838</v>
      </c>
      <c r="C8" s="67">
        <v>0.43761598660933571</v>
      </c>
      <c r="D8" s="67">
        <v>5.511495681066096</v>
      </c>
      <c r="E8" s="67">
        <v>0.15795435874330466</v>
      </c>
      <c r="F8" s="67">
        <v>0</v>
      </c>
      <c r="G8" s="67">
        <v>0.20871235929886467</v>
      </c>
      <c r="H8" s="67">
        <v>0.69134246470954086</v>
      </c>
      <c r="I8" s="67">
        <v>8.8067035166151886</v>
      </c>
      <c r="J8" s="67">
        <v>0.32439278381107606</v>
      </c>
      <c r="K8" s="67">
        <v>0</v>
      </c>
      <c r="W8" s="67">
        <v>0.40964916011404617</v>
      </c>
      <c r="X8" s="67">
        <v>1.3569290336750008</v>
      </c>
      <c r="Y8" s="67">
        <v>17.285314157121185</v>
      </c>
      <c r="Z8" s="67">
        <v>0.63670034626448468</v>
      </c>
      <c r="AA8" s="67">
        <v>0</v>
      </c>
      <c r="AB8" s="62" t="s">
        <v>86</v>
      </c>
    </row>
    <row r="9" spans="1:28" x14ac:dyDescent="0.25">
      <c r="A9" s="62" t="s">
        <v>87</v>
      </c>
      <c r="B9" s="67">
        <v>0.20603594892613503</v>
      </c>
      <c r="C9" s="67">
        <v>0.74040769964606801</v>
      </c>
      <c r="D9" s="67">
        <v>5.5137681980191315</v>
      </c>
      <c r="E9" s="67">
        <v>2.6714111208347671</v>
      </c>
      <c r="F9" s="67">
        <v>1.5260546290351031E-3</v>
      </c>
      <c r="G9" s="67">
        <v>0.32515686507249913</v>
      </c>
      <c r="H9" s="67">
        <v>1.5565120740701808</v>
      </c>
      <c r="I9" s="67">
        <v>8.8096318323003899</v>
      </c>
      <c r="J9" s="67">
        <v>3.4638371802738392</v>
      </c>
      <c r="K9" s="67">
        <v>2.310094549534679E-3</v>
      </c>
      <c r="R9" s="67"/>
      <c r="S9" s="67"/>
      <c r="T9" s="67"/>
      <c r="U9" s="67"/>
      <c r="V9" s="67"/>
    </row>
  </sheetData>
  <sheetProtection algorithmName="SHA-512" hashValue="QYevUlf/Fngc1OyCgLBP2TZRq4oGTCLiACIo3hfAWRSyol/f3zEG0FEA0XZ7tbk8CNcjhz+slaH+1BxpTkMapQ==" saltValue="6duUEVhtHp1txyQ2+WrABQ==" spinCount="100000" sheet="1" objects="1" scenarios="1"/>
  <mergeCells count="5">
    <mergeCell ref="A1:K1"/>
    <mergeCell ref="B3:F3"/>
    <mergeCell ref="G3:K3"/>
    <mergeCell ref="R3:V3"/>
    <mergeCell ref="W3:AA3"/>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E28F-E97A-4FAD-AD04-21DE638A7556}">
  <sheetPr codeName="Sheet15"/>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89</v>
      </c>
      <c r="B1" s="285"/>
      <c r="C1" s="285"/>
      <c r="D1" s="285"/>
      <c r="E1" s="285"/>
      <c r="F1" s="285"/>
      <c r="G1" s="285"/>
      <c r="H1" s="285"/>
      <c r="I1" s="285"/>
      <c r="J1" s="285"/>
      <c r="K1" s="285"/>
    </row>
    <row r="2" spans="1:28" x14ac:dyDescent="0.25">
      <c r="P2" s="63" t="s">
        <v>78</v>
      </c>
      <c r="Q2" s="64">
        <v>0.92930005486013756</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0.11925499360569412</v>
      </c>
      <c r="C5" s="67">
        <v>0.37724758337124426</v>
      </c>
      <c r="D5" s="67">
        <v>2.9750464887862375E-2</v>
      </c>
      <c r="E5" s="67">
        <v>2.2155662713849837</v>
      </c>
      <c r="F5" s="67">
        <v>4.8887524367656941E-2</v>
      </c>
      <c r="G5" s="67">
        <v>0.19180192525947332</v>
      </c>
      <c r="H5" s="67">
        <v>1.2924126259701867</v>
      </c>
      <c r="I5" s="67">
        <v>0.70077152119956898</v>
      </c>
      <c r="J5" s="67">
        <v>2.4024683211866056</v>
      </c>
      <c r="K5" s="67">
        <v>5.311119704433561E-2</v>
      </c>
      <c r="L5" s="62" t="s">
        <v>81</v>
      </c>
      <c r="R5" s="67">
        <v>0.12825875844879989</v>
      </c>
      <c r="S5" s="67">
        <v>0.40572981648875489</v>
      </c>
      <c r="T5" s="67">
        <v>3.1996628186558802E-2</v>
      </c>
      <c r="U5" s="67">
        <v>2.3828417631587264</v>
      </c>
      <c r="V5" s="67">
        <v>5.2578537715268811E-2</v>
      </c>
      <c r="W5" s="67">
        <v>0.19180192525947332</v>
      </c>
      <c r="X5" s="67">
        <v>1.2924126259701867</v>
      </c>
      <c r="Y5" s="67">
        <v>0.70077152119956898</v>
      </c>
      <c r="Z5" s="67">
        <v>2.4024683211866056</v>
      </c>
      <c r="AA5" s="67">
        <v>5.311119704433561E-2</v>
      </c>
    </row>
    <row r="6" spans="1:28" x14ac:dyDescent="0.25">
      <c r="A6" s="68" t="s">
        <v>9</v>
      </c>
      <c r="B6" s="67">
        <v>8.1481464387881314E-2</v>
      </c>
      <c r="C6" s="67">
        <v>0.2305111004823292</v>
      </c>
      <c r="D6" s="67">
        <v>2.1974913207747594E-3</v>
      </c>
      <c r="E6" s="67">
        <v>2.4368360319080167</v>
      </c>
      <c r="F6" s="67">
        <v>1.4706723157989039E-3</v>
      </c>
      <c r="G6" s="67">
        <v>9.9820075821593676E-2</v>
      </c>
      <c r="H6" s="67">
        <v>0.27753172650583435</v>
      </c>
      <c r="I6" s="67">
        <v>2.3634021518334691E-3</v>
      </c>
      <c r="J6" s="67">
        <v>3.0185462019271392</v>
      </c>
      <c r="K6" s="67">
        <v>1.8201859674732437E-3</v>
      </c>
      <c r="L6" s="62" t="s">
        <v>82</v>
      </c>
      <c r="R6" s="67">
        <v>8.7633323712498726E-2</v>
      </c>
      <c r="S6" s="67">
        <v>0.24791471336021639</v>
      </c>
      <c r="T6" s="67">
        <v>2.3634021518334691E-3</v>
      </c>
      <c r="U6" s="67">
        <v>2.6208174143988137</v>
      </c>
      <c r="V6" s="67">
        <v>1.5817082338125444E-3</v>
      </c>
      <c r="W6" s="67">
        <v>9.9820075821593676E-2</v>
      </c>
      <c r="X6" s="67">
        <v>0.27753172650583435</v>
      </c>
      <c r="Y6" s="67">
        <v>2.3634021518334691E-3</v>
      </c>
      <c r="Z6" s="67">
        <v>3.0185462019271392</v>
      </c>
      <c r="AA6" s="67">
        <v>1.8201859674732437E-3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0.1212213542468478</v>
      </c>
      <c r="C8" s="67">
        <v>0.43971475110984493</v>
      </c>
      <c r="D8" s="67">
        <v>5.547370552321631</v>
      </c>
      <c r="E8" s="67">
        <v>0.15952753956658688</v>
      </c>
      <c r="F8" s="67">
        <v>0</v>
      </c>
      <c r="G8" s="67">
        <v>0.20957883743583408</v>
      </c>
      <c r="H8" s="67">
        <v>0.69344122921005003</v>
      </c>
      <c r="I8" s="67">
        <v>8.8425783878707236</v>
      </c>
      <c r="J8" s="67">
        <v>0.32596596463435829</v>
      </c>
      <c r="K8" s="67">
        <v>0</v>
      </c>
      <c r="W8" s="67">
        <v>0.41134983582994106</v>
      </c>
      <c r="X8" s="67">
        <v>1.361048373410314</v>
      </c>
      <c r="Y8" s="67">
        <v>17.355727384820774</v>
      </c>
      <c r="Z8" s="67">
        <v>0.63978809921371116</v>
      </c>
      <c r="AA8" s="67">
        <v>0</v>
      </c>
      <c r="AB8" s="62" t="s">
        <v>86</v>
      </c>
    </row>
    <row r="9" spans="1:28" x14ac:dyDescent="0.25">
      <c r="A9" s="62" t="s">
        <v>87</v>
      </c>
      <c r="B9" s="67">
        <v>0.20448560435361018</v>
      </c>
      <c r="C9" s="67">
        <v>0.74933646843181001</v>
      </c>
      <c r="D9" s="67">
        <v>5.5496430692746666</v>
      </c>
      <c r="E9" s="67">
        <v>2.5993927889121355</v>
      </c>
      <c r="F9" s="67">
        <v>1.5370029481088954E-3</v>
      </c>
      <c r="G9" s="67">
        <v>0.32282258926439439</v>
      </c>
      <c r="H9" s="67">
        <v>1.5666448179703427</v>
      </c>
      <c r="I9" s="67">
        <v>8.8455067035559249</v>
      </c>
      <c r="J9" s="67">
        <v>3.3673209836870952</v>
      </c>
      <c r="K9" s="67">
        <v>2.319629567473243E-3</v>
      </c>
      <c r="R9" s="67"/>
      <c r="S9" s="67"/>
      <c r="T9" s="67"/>
      <c r="U9" s="67"/>
      <c r="V9" s="67"/>
    </row>
  </sheetData>
  <sheetProtection algorithmName="SHA-512" hashValue="vspm1WSrIkIGoBTyGT0Dl+APrvPkenhiGNHYWbp88Rz56Z0ArL2HAe2DUrVK5SfrPrMqo5oTMWX/PBSS5nDVwg==" saltValue="DjJ5WI7N+PrWc5tG/VCAig==" spinCount="100000" sheet="1" objects="1" scenarios="1"/>
  <mergeCells count="5">
    <mergeCell ref="B3:F3"/>
    <mergeCell ref="G3:K3"/>
    <mergeCell ref="R3:V3"/>
    <mergeCell ref="W3:AA3"/>
    <mergeCell ref="A1:K1"/>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758C-E1F6-448E-8D34-D47C0D2B3B80}">
  <sheetPr codeName="Sheet16"/>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90</v>
      </c>
      <c r="B1" s="285"/>
      <c r="C1" s="285"/>
      <c r="D1" s="285"/>
      <c r="E1" s="285"/>
      <c r="F1" s="285"/>
      <c r="G1" s="285"/>
      <c r="H1" s="285"/>
      <c r="I1" s="285"/>
      <c r="J1" s="285"/>
      <c r="K1" s="285"/>
    </row>
    <row r="2" spans="1:28" x14ac:dyDescent="0.25">
      <c r="P2" s="63" t="s">
        <v>78</v>
      </c>
      <c r="Q2" s="64">
        <v>0.92838856530980784</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0.12093284221501384</v>
      </c>
      <c r="C5" s="67">
        <v>0.38255523812003822</v>
      </c>
      <c r="D5" s="67">
        <v>3.0169036677851802E-2</v>
      </c>
      <c r="E5" s="67">
        <v>2.246738004114182</v>
      </c>
      <c r="F5" s="67">
        <v>4.9575343487790101E-2</v>
      </c>
      <c r="G5" s="67">
        <v>0.19450046713039482</v>
      </c>
      <c r="H5" s="67">
        <v>1.3105961222044924</v>
      </c>
      <c r="I5" s="67">
        <v>0.71063097015634091</v>
      </c>
      <c r="J5" s="67">
        <v>2.4362696573802549</v>
      </c>
      <c r="K5" s="67">
        <v>5.3858440789908098E-2</v>
      </c>
      <c r="L5" s="62" t="s">
        <v>81</v>
      </c>
      <c r="R5" s="67">
        <v>0.13006328480857587</v>
      </c>
      <c r="S5" s="67">
        <v>0.41143819974192108</v>
      </c>
      <c r="T5" s="67">
        <v>3.2446802191709832E-2</v>
      </c>
      <c r="U5" s="67">
        <v>2.4163669650614992</v>
      </c>
      <c r="V5" s="67">
        <v>5.3318287252946982E-2</v>
      </c>
      <c r="W5" s="67">
        <v>0.19450046713039482</v>
      </c>
      <c r="X5" s="67">
        <v>1.3105961222044924</v>
      </c>
      <c r="Y5" s="67">
        <v>0.71063097015634091</v>
      </c>
      <c r="Z5" s="67">
        <v>2.4362696573802549</v>
      </c>
      <c r="AA5" s="67">
        <v>5.3858440789908098E-2</v>
      </c>
    </row>
    <row r="6" spans="1:28" x14ac:dyDescent="0.25">
      <c r="A6" s="68" t="s">
        <v>9</v>
      </c>
      <c r="B6" s="67">
        <v>7.8808127656815233E-2</v>
      </c>
      <c r="C6" s="67">
        <v>0.23386509347497741</v>
      </c>
      <c r="D6" s="67">
        <v>2.1974913207747594E-3</v>
      </c>
      <c r="E6" s="67">
        <v>2.3463710433862035</v>
      </c>
      <c r="F6" s="67">
        <v>1.4623543943654128E-3</v>
      </c>
      <c r="G6" s="67">
        <v>9.6312930844991582E-2</v>
      </c>
      <c r="H6" s="67">
        <v>0.28119840794808038</v>
      </c>
      <c r="I6" s="67">
        <v>2.3634021518334691E-3</v>
      </c>
      <c r="J6" s="67">
        <v>2.9000482372404197</v>
      </c>
      <c r="K6" s="67">
        <v>1.8058630285272875E-3</v>
      </c>
      <c r="L6" s="62" t="s">
        <v>82</v>
      </c>
      <c r="R6" s="67">
        <v>8.4758149770719757E-2</v>
      </c>
      <c r="S6" s="67">
        <v>0.25152193318453153</v>
      </c>
      <c r="T6" s="67">
        <v>2.3634021518334691E-3</v>
      </c>
      <c r="U6" s="67">
        <v>2.5235223095140928</v>
      </c>
      <c r="V6" s="67">
        <v>1.5727623084162323E-3</v>
      </c>
      <c r="W6" s="67">
        <v>9.6312930844991582E-2</v>
      </c>
      <c r="X6" s="67">
        <v>0.28119840794808038</v>
      </c>
      <c r="Y6" s="67">
        <v>2.3634021518334691E-3</v>
      </c>
      <c r="Z6" s="67">
        <v>2.9000482372404197</v>
      </c>
      <c r="AA6" s="67">
        <v>1.8058630285272875E-3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0.1212213542468478</v>
      </c>
      <c r="C8" s="67">
        <v>0.43971475110984493</v>
      </c>
      <c r="D8" s="67">
        <v>5.547370552321631</v>
      </c>
      <c r="E8" s="67">
        <v>0.15952753956658688</v>
      </c>
      <c r="F8" s="67">
        <v>0</v>
      </c>
      <c r="G8" s="67">
        <v>0.20957883743583408</v>
      </c>
      <c r="H8" s="67">
        <v>0.69344122921005003</v>
      </c>
      <c r="I8" s="67">
        <v>8.8425783878707236</v>
      </c>
      <c r="J8" s="67">
        <v>0.32596596463435829</v>
      </c>
      <c r="K8" s="67">
        <v>0</v>
      </c>
      <c r="W8" s="67">
        <v>0.41134983582994106</v>
      </c>
      <c r="X8" s="67">
        <v>1.361048373410314</v>
      </c>
      <c r="Y8" s="67">
        <v>17.355727384820774</v>
      </c>
      <c r="Z8" s="67">
        <v>0.63978809921371116</v>
      </c>
      <c r="AA8" s="67">
        <v>0</v>
      </c>
      <c r="AB8" s="62" t="s">
        <v>86</v>
      </c>
    </row>
    <row r="9" spans="1:28" x14ac:dyDescent="0.25">
      <c r="A9" s="62" t="s">
        <v>87</v>
      </c>
      <c r="B9" s="67">
        <v>0.20181226762254412</v>
      </c>
      <c r="C9" s="67">
        <v>0.75269046142445828</v>
      </c>
      <c r="D9" s="67">
        <v>5.5496430692746666</v>
      </c>
      <c r="E9" s="67">
        <v>2.5089278003903224</v>
      </c>
      <c r="F9" s="67">
        <v>1.5286850266754044E-3</v>
      </c>
      <c r="G9" s="67">
        <v>0.31931544428779229</v>
      </c>
      <c r="H9" s="67">
        <v>1.5703114994125886</v>
      </c>
      <c r="I9" s="67">
        <v>8.8455067035559249</v>
      </c>
      <c r="J9" s="67">
        <v>3.2488230190003757</v>
      </c>
      <c r="K9" s="67">
        <v>2.3053066285272867E-3</v>
      </c>
      <c r="R9" s="67"/>
      <c r="S9" s="67"/>
      <c r="T9" s="67"/>
      <c r="U9" s="67"/>
      <c r="V9" s="67"/>
    </row>
  </sheetData>
  <sheetProtection algorithmName="SHA-512" hashValue="V5rHHqmwDzIcBewsLYGBkz8YmnokUSUAN6g2AivR8Pwa0TkulEX2UQWdzs8f33MyE9wk0He/KTWguS4DiqZjpg==" saltValue="OObD5QnFXCRyRbZV6sIH+A==" spinCount="100000" sheet="1" objects="1" scenarios="1"/>
  <mergeCells count="5">
    <mergeCell ref="B3:F3"/>
    <mergeCell ref="G3:K3"/>
    <mergeCell ref="R3:V3"/>
    <mergeCell ref="W3:AA3"/>
    <mergeCell ref="A1:K1"/>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D0C0E-C24C-4208-BBB4-D29B59A9C31B}">
  <sheetPr codeName="Sheet17"/>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170</v>
      </c>
      <c r="B1" s="285"/>
      <c r="C1" s="285"/>
      <c r="D1" s="285"/>
      <c r="E1" s="285"/>
      <c r="F1" s="285"/>
      <c r="G1" s="285"/>
      <c r="H1" s="285"/>
      <c r="I1" s="285"/>
      <c r="J1" s="285"/>
      <c r="K1" s="285"/>
    </row>
    <row r="2" spans="1:28" x14ac:dyDescent="0.25">
      <c r="P2" s="63" t="s">
        <v>78</v>
      </c>
      <c r="Q2" s="64">
        <v>0.92838856530980784</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0.1225654474110935</v>
      </c>
      <c r="C5" s="67">
        <v>0.38771977124522372</v>
      </c>
      <c r="D5" s="67">
        <v>3.0576321623271403E-2</v>
      </c>
      <c r="E5" s="67">
        <v>2.2770691868810995</v>
      </c>
      <c r="F5" s="67">
        <v>5.0244615472911383E-2</v>
      </c>
      <c r="G5" s="67">
        <v>0.19712624245710403</v>
      </c>
      <c r="H5" s="67">
        <v>1.3282892980191208</v>
      </c>
      <c r="I5" s="67">
        <v>0.72022455774696115</v>
      </c>
      <c r="J5" s="67">
        <v>2.4691595360008072</v>
      </c>
      <c r="K5" s="67">
        <v>5.4585535007457518E-2</v>
      </c>
      <c r="L5" s="62" t="s">
        <v>81</v>
      </c>
      <c r="R5" s="67">
        <v>0.13181915187254625</v>
      </c>
      <c r="S5" s="67">
        <v>0.41699265567350369</v>
      </c>
      <c r="T5" s="67">
        <v>3.2884837194312115E-2</v>
      </c>
      <c r="U5" s="67">
        <v>2.4489881553894381</v>
      </c>
      <c r="V5" s="67">
        <v>5.4038089344925128E-2</v>
      </c>
      <c r="W5" s="67">
        <v>0.19712624245710403</v>
      </c>
      <c r="X5" s="67">
        <v>1.3282892980191208</v>
      </c>
      <c r="Y5" s="67">
        <v>0.72022455774696115</v>
      </c>
      <c r="Z5" s="67">
        <v>2.4691595360008072</v>
      </c>
      <c r="AA5" s="67">
        <v>5.4585535007457518E-2</v>
      </c>
    </row>
    <row r="6" spans="1:28" x14ac:dyDescent="0.25">
      <c r="A6" s="68" t="s">
        <v>9</v>
      </c>
      <c r="B6" s="67">
        <v>7.5606724935276023E-2</v>
      </c>
      <c r="C6" s="67">
        <v>0.23250857946489062</v>
      </c>
      <c r="D6" s="67">
        <v>2.1974913207747594E-3</v>
      </c>
      <c r="E6" s="67">
        <v>2.2427355245937521</v>
      </c>
      <c r="F6" s="67">
        <v>1.4318987012595845E-3</v>
      </c>
      <c r="G6" s="67">
        <v>9.2105993052517501E-2</v>
      </c>
      <c r="H6" s="67">
        <v>0.27893810058117258</v>
      </c>
      <c r="I6" s="67">
        <v>2.3634021518334691E-3</v>
      </c>
      <c r="J6" s="67">
        <v>2.7634636194439661</v>
      </c>
      <c r="K6" s="67">
        <v>1.7629774223926844E-3</v>
      </c>
      <c r="L6" s="62" t="s">
        <v>82</v>
      </c>
      <c r="R6" s="67">
        <v>8.1315040799393445E-2</v>
      </c>
      <c r="S6" s="67">
        <v>0.25006300222079009</v>
      </c>
      <c r="T6" s="67">
        <v>2.3634021518334691E-3</v>
      </c>
      <c r="U6" s="67">
        <v>2.4120622979068105</v>
      </c>
      <c r="V6" s="67">
        <v>1.540007207205404E-3</v>
      </c>
      <c r="W6" s="67">
        <v>9.2105993052517501E-2</v>
      </c>
      <c r="X6" s="67">
        <v>0.27893810058117258</v>
      </c>
      <c r="Y6" s="67">
        <v>2.3634021518334691E-3</v>
      </c>
      <c r="Z6" s="67">
        <v>2.7634636194439661</v>
      </c>
      <c r="AA6" s="67">
        <v>1.7629774223926844E-3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0.12298562850656918</v>
      </c>
      <c r="C8" s="67">
        <v>0.44398813785496954</v>
      </c>
      <c r="D8" s="67">
        <v>5.620416956179362</v>
      </c>
      <c r="E8" s="67">
        <v>0.16273076226082797</v>
      </c>
      <c r="F8" s="67">
        <v>0</v>
      </c>
      <c r="G8" s="67">
        <v>0.21134311169555545</v>
      </c>
      <c r="H8" s="67">
        <v>0.6977146159551747</v>
      </c>
      <c r="I8" s="67">
        <v>8.9156247917284546</v>
      </c>
      <c r="J8" s="67">
        <v>0.32916918732859934</v>
      </c>
      <c r="K8" s="67">
        <v>0</v>
      </c>
      <c r="W8" s="67">
        <v>0.41481265648480592</v>
      </c>
      <c r="X8" s="67">
        <v>1.3694359422963331</v>
      </c>
      <c r="Y8" s="67">
        <v>17.499098855921929</v>
      </c>
      <c r="Z8" s="67">
        <v>0.64607520885476077</v>
      </c>
      <c r="AA8" s="67">
        <v>0</v>
      </c>
      <c r="AB8" s="62" t="s">
        <v>86</v>
      </c>
    </row>
    <row r="9" spans="1:28" x14ac:dyDescent="0.25">
      <c r="A9" s="62" t="s">
        <v>87</v>
      </c>
      <c r="B9" s="67">
        <v>0.2003751391607263</v>
      </c>
      <c r="C9" s="67">
        <v>0.7556073341594961</v>
      </c>
      <c r="D9" s="67">
        <v>5.6226894731323975</v>
      </c>
      <c r="E9" s="67">
        <v>2.4084955042921123</v>
      </c>
      <c r="F9" s="67">
        <v>1.4982293335695761E-3</v>
      </c>
      <c r="G9" s="67">
        <v>0.31687278075503955</v>
      </c>
      <c r="H9" s="67">
        <v>1.5723245787908056</v>
      </c>
      <c r="I9" s="67">
        <v>8.9185531074136559</v>
      </c>
      <c r="J9" s="67">
        <v>3.115441623898163</v>
      </c>
      <c r="K9" s="67">
        <v>2.2624210223926838E-3</v>
      </c>
      <c r="R9" s="67"/>
      <c r="S9" s="67"/>
      <c r="T9" s="67"/>
      <c r="U9" s="67"/>
      <c r="V9" s="67"/>
    </row>
  </sheetData>
  <sheetProtection algorithmName="SHA-512" hashValue="0owZRlajdWmpcMTgL2Nx31GP2pxx/bFbyp6y59Br3XQwXURaa804nL746ciGaTCwY8UTy2dwnfLE0Iz3rfVO0g==" saltValue="IbIG4JR96NJsxn1x2jIpJA==" spinCount="100000" sheet="1" objects="1" scenarios="1"/>
  <mergeCells count="5">
    <mergeCell ref="A1:K1"/>
    <mergeCell ref="B3:F3"/>
    <mergeCell ref="G3:K3"/>
    <mergeCell ref="R3:V3"/>
    <mergeCell ref="W3:AA3"/>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D322A-69BE-4490-888D-FC7ED198ECAE}">
  <sheetPr codeName="Sheet18"/>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91</v>
      </c>
      <c r="B1" s="285"/>
      <c r="C1" s="285"/>
      <c r="D1" s="285"/>
      <c r="E1" s="285"/>
      <c r="F1" s="285"/>
      <c r="G1" s="285"/>
      <c r="H1" s="285"/>
      <c r="I1" s="285"/>
      <c r="J1" s="285"/>
      <c r="K1" s="285"/>
    </row>
    <row r="2" spans="1:28" x14ac:dyDescent="0.25">
      <c r="P2" s="63" t="s">
        <v>78</v>
      </c>
      <c r="Q2" s="64">
        <v>0.92700000000000005</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0.12403847550265712</v>
      </c>
      <c r="C5" s="67">
        <v>0.39237950306004149</v>
      </c>
      <c r="D5" s="67">
        <v>3.0943796973291523E-2</v>
      </c>
      <c r="E5" s="67">
        <v>2.3044356833085944</v>
      </c>
      <c r="F5" s="67">
        <v>5.0848470242789323E-2</v>
      </c>
      <c r="G5" s="67">
        <v>0.19949536441485921</v>
      </c>
      <c r="H5" s="67">
        <v>1.3442530748504726</v>
      </c>
      <c r="I5" s="67">
        <v>0.72888043122684099</v>
      </c>
      <c r="J5" s="67">
        <v>2.4988346315184078</v>
      </c>
      <c r="K5" s="67">
        <v>5.5241560242606617E-2</v>
      </c>
      <c r="L5" s="62" t="s">
        <v>81</v>
      </c>
      <c r="R5" s="67">
        <v>0.13340339374344712</v>
      </c>
      <c r="S5" s="67">
        <v>0.42200419774149439</v>
      </c>
      <c r="T5" s="67">
        <v>3.3280056972780733E-2</v>
      </c>
      <c r="U5" s="67">
        <v>2.4784208252404758</v>
      </c>
      <c r="V5" s="67">
        <v>5.4687535214873441E-2</v>
      </c>
      <c r="W5" s="67">
        <v>0.19949536441485921</v>
      </c>
      <c r="X5" s="67">
        <v>1.3442530748504726</v>
      </c>
      <c r="Y5" s="67">
        <v>0.72888043122684099</v>
      </c>
      <c r="Z5" s="67">
        <v>2.4988346315184078</v>
      </c>
      <c r="AA5" s="67">
        <v>5.5241560242606617E-2</v>
      </c>
    </row>
    <row r="6" spans="1:28" x14ac:dyDescent="0.25">
      <c r="A6" s="68" t="s">
        <v>9</v>
      </c>
      <c r="B6" s="67">
        <v>7.5190050282143567E-2</v>
      </c>
      <c r="C6" s="67">
        <v>0.23719808833591136</v>
      </c>
      <c r="D6" s="67">
        <v>2.1974913207747594E-3</v>
      </c>
      <c r="E6" s="67">
        <v>2.2213388892259633</v>
      </c>
      <c r="F6" s="67">
        <v>1.4471558226553155E-3</v>
      </c>
      <c r="G6" s="67">
        <v>9.1521557786446994E-2</v>
      </c>
      <c r="H6" s="67">
        <v>0.2844737964204726</v>
      </c>
      <c r="I6" s="67">
        <v>2.3634021518334691E-3</v>
      </c>
      <c r="J6" s="67">
        <v>2.7349648076210409</v>
      </c>
      <c r="K6" s="67">
        <v>1.780209051397247E-3</v>
      </c>
      <c r="L6" s="62" t="s">
        <v>82</v>
      </c>
      <c r="R6" s="67">
        <v>8.0866907165136129E-2</v>
      </c>
      <c r="S6" s="67">
        <v>0.25510656951592964</v>
      </c>
      <c r="T6" s="67">
        <v>2.3634021518334691E-3</v>
      </c>
      <c r="U6" s="67">
        <v>2.3890502142675452</v>
      </c>
      <c r="V6" s="67">
        <v>1.5564162429074161E-3</v>
      </c>
      <c r="W6" s="67">
        <v>9.1521557786446994E-2</v>
      </c>
      <c r="X6" s="67">
        <v>0.2844737964204726</v>
      </c>
      <c r="Y6" s="67">
        <v>2.3634021518334691E-3</v>
      </c>
      <c r="Z6" s="67">
        <v>2.7349648076210409</v>
      </c>
      <c r="AA6" s="67">
        <v>1.780209051397247E-3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0.12388367567229894</v>
      </c>
      <c r="C8" s="67">
        <v>0.44616336817042634</v>
      </c>
      <c r="D8" s="67">
        <v>5.6575988827362522</v>
      </c>
      <c r="E8" s="67">
        <v>0.16436125992632034</v>
      </c>
      <c r="F8" s="67">
        <v>0</v>
      </c>
      <c r="G8" s="67">
        <v>0.21224115886128522</v>
      </c>
      <c r="H8" s="67">
        <v>0.69988984627063144</v>
      </c>
      <c r="I8" s="67">
        <v>8.9528067182853448</v>
      </c>
      <c r="J8" s="67">
        <v>0.33079968499409174</v>
      </c>
      <c r="K8" s="67">
        <v>0</v>
      </c>
      <c r="W8" s="67">
        <v>0.41657529415715006</v>
      </c>
      <c r="X8" s="67">
        <v>1.3737053649351023</v>
      </c>
      <c r="Y8" s="67">
        <v>17.572077500007119</v>
      </c>
      <c r="Z8" s="67">
        <v>0.64927546015507032</v>
      </c>
      <c r="AA8" s="67">
        <v>0</v>
      </c>
      <c r="AB8" s="62" t="s">
        <v>86</v>
      </c>
    </row>
    <row r="9" spans="1:28" x14ac:dyDescent="0.25">
      <c r="A9" s="62" t="s">
        <v>87</v>
      </c>
      <c r="B9" s="67">
        <v>0.20085651167332358</v>
      </c>
      <c r="C9" s="67">
        <v>0.76247207334597367</v>
      </c>
      <c r="D9" s="67">
        <v>5.6598713996892878</v>
      </c>
      <c r="E9" s="67">
        <v>2.3887293665898159</v>
      </c>
      <c r="F9" s="67">
        <v>1.513486454965307E-3</v>
      </c>
      <c r="G9" s="67">
        <v>0.31718639265469883</v>
      </c>
      <c r="H9" s="67">
        <v>1.5800355049455623</v>
      </c>
      <c r="I9" s="67">
        <v>8.9557350339705462</v>
      </c>
      <c r="J9" s="67">
        <v>3.0885733097407302</v>
      </c>
      <c r="K9" s="67">
        <v>2.2796526513972461E-3</v>
      </c>
      <c r="R9" s="67"/>
      <c r="S9" s="67"/>
      <c r="T9" s="67"/>
      <c r="U9" s="67"/>
      <c r="V9" s="67"/>
    </row>
  </sheetData>
  <sheetProtection algorithmName="SHA-512" hashValue="IBzNtyBsm4ip5JpxN6X7lHGqAQTQscPufxiRMDlKRr56VxzEEc8F7kmLUiAlvwLIUmd1nLIPLo8GwTmHmYZFnQ==" saltValue="Iaz42+JxkxOlRflIGEM2KA==" spinCount="100000" sheet="1" objects="1" scenarios="1"/>
  <mergeCells count="5">
    <mergeCell ref="B3:F3"/>
    <mergeCell ref="G3:K3"/>
    <mergeCell ref="R3:V3"/>
    <mergeCell ref="W3:AA3"/>
    <mergeCell ref="A1:K1"/>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40C79-714F-4792-B77B-70EC441A284B}">
  <sheetPr codeName="Sheet19"/>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171</v>
      </c>
      <c r="B1" s="285"/>
      <c r="C1" s="285"/>
      <c r="D1" s="285"/>
      <c r="E1" s="285"/>
      <c r="F1" s="285"/>
      <c r="G1" s="285"/>
      <c r="H1" s="285"/>
      <c r="I1" s="285"/>
      <c r="J1" s="285"/>
      <c r="K1" s="285"/>
    </row>
    <row r="2" spans="1:28" x14ac:dyDescent="0.25">
      <c r="P2" s="63" t="s">
        <v>78</v>
      </c>
      <c r="Q2" s="64">
        <v>0.92838856530980784</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0.12551150359422081</v>
      </c>
      <c r="C5" s="67">
        <v>0.39703923487485926</v>
      </c>
      <c r="D5" s="67">
        <v>3.1311272323311642E-2</v>
      </c>
      <c r="E5" s="67">
        <v>2.3318021797360875</v>
      </c>
      <c r="F5" s="67">
        <v>5.1452325012667263E-2</v>
      </c>
      <c r="G5" s="67">
        <v>0.20186448637261434</v>
      </c>
      <c r="H5" s="67">
        <v>1.3602168516818252</v>
      </c>
      <c r="I5" s="67">
        <v>0.73753630470672082</v>
      </c>
      <c r="J5" s="67">
        <v>2.5285097270360049</v>
      </c>
      <c r="K5" s="67">
        <v>5.5897585477755703E-2</v>
      </c>
      <c r="L5" s="62" t="s">
        <v>81</v>
      </c>
      <c r="R5" s="67">
        <v>0.13498763561434804</v>
      </c>
      <c r="S5" s="67">
        <v>0.42701573980948515</v>
      </c>
      <c r="T5" s="67">
        <v>3.3675276751249351E-2</v>
      </c>
      <c r="U5" s="67">
        <v>2.5078534950915117</v>
      </c>
      <c r="V5" s="67">
        <v>5.5336981084821754E-2</v>
      </c>
      <c r="W5" s="67">
        <v>0.20186448637261434</v>
      </c>
      <c r="X5" s="67">
        <v>1.3602168516818252</v>
      </c>
      <c r="Y5" s="67">
        <v>0.73753630470672082</v>
      </c>
      <c r="Z5" s="67">
        <v>2.5285097270360049</v>
      </c>
      <c r="AA5" s="67">
        <v>5.5897585477755703E-2</v>
      </c>
    </row>
    <row r="6" spans="1:28" x14ac:dyDescent="0.25">
      <c r="A6" s="68" t="s">
        <v>9</v>
      </c>
      <c r="B6" s="67">
        <v>7.5120650547432985E-2</v>
      </c>
      <c r="C6" s="67">
        <v>0.24137180811974968</v>
      </c>
      <c r="D6" s="67">
        <v>2.1974913207747594E-3</v>
      </c>
      <c r="E6" s="67">
        <v>2.2148104324974733</v>
      </c>
      <c r="F6" s="67">
        <v>1.4656293574218323E-3</v>
      </c>
      <c r="G6" s="67">
        <v>9.130075750048007E-2</v>
      </c>
      <c r="H6" s="67">
        <v>0.28923691846475957</v>
      </c>
      <c r="I6" s="67">
        <v>2.3634021518334691E-3</v>
      </c>
      <c r="J6" s="67">
        <v>2.7224971728911327</v>
      </c>
      <c r="K6" s="67">
        <v>1.8000148282441869E-3</v>
      </c>
      <c r="L6" s="62" t="s">
        <v>82</v>
      </c>
      <c r="R6" s="67">
        <v>8.0792267742990947E-2</v>
      </c>
      <c r="S6" s="67">
        <v>0.25959540559233135</v>
      </c>
      <c r="T6" s="67">
        <v>2.3634021518334691E-3</v>
      </c>
      <c r="U6" s="67">
        <v>2.3820288583539186</v>
      </c>
      <c r="V6" s="67">
        <v>1.5762845315356339E-3</v>
      </c>
      <c r="W6" s="67">
        <v>9.130075750048007E-2</v>
      </c>
      <c r="X6" s="67">
        <v>0.28923691846475957</v>
      </c>
      <c r="Y6" s="67">
        <v>2.3634021518334691E-3</v>
      </c>
      <c r="Z6" s="67">
        <v>2.7224971728911327</v>
      </c>
      <c r="AA6" s="67">
        <v>1.8000148282441869E-3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0.1247924994040174</v>
      </c>
      <c r="C8" s="67">
        <v>0.44836470124966848</v>
      </c>
      <c r="D8" s="67">
        <v>5.6952269924118308</v>
      </c>
      <c r="E8" s="67">
        <v>0.16601132356379883</v>
      </c>
      <c r="F8" s="67">
        <v>0</v>
      </c>
      <c r="G8" s="67">
        <v>0.21314998259300369</v>
      </c>
      <c r="H8" s="67">
        <v>0.70209117934987364</v>
      </c>
      <c r="I8" s="67">
        <v>8.9904348279609234</v>
      </c>
      <c r="J8" s="67">
        <v>0.33244974863157023</v>
      </c>
      <c r="K8" s="67">
        <v>0</v>
      </c>
      <c r="W8" s="67">
        <v>0.4183590834815622</v>
      </c>
      <c r="X8" s="67">
        <v>1.3780260206455364</v>
      </c>
      <c r="Y8" s="67">
        <v>17.645931887821344</v>
      </c>
      <c r="Z8" s="67">
        <v>0.65251411447098395</v>
      </c>
      <c r="AA8" s="67">
        <v>0</v>
      </c>
      <c r="AB8" s="62" t="s">
        <v>86</v>
      </c>
    </row>
    <row r="9" spans="1:28" x14ac:dyDescent="0.25">
      <c r="A9" s="62" t="s">
        <v>87</v>
      </c>
      <c r="B9" s="67">
        <v>0.20169593567033148</v>
      </c>
      <c r="C9" s="67">
        <v>0.76884712620905415</v>
      </c>
      <c r="D9" s="67">
        <v>5.6974995093648664</v>
      </c>
      <c r="E9" s="67">
        <v>2.3838509734988045</v>
      </c>
      <c r="F9" s="67">
        <v>1.5319599897318239E-3</v>
      </c>
      <c r="G9" s="67">
        <v>0.31787441610045036</v>
      </c>
      <c r="H9" s="67">
        <v>1.5869999600690914</v>
      </c>
      <c r="I9" s="67">
        <v>8.9933631436461248</v>
      </c>
      <c r="J9" s="67">
        <v>3.0777557386483005</v>
      </c>
      <c r="K9" s="67">
        <v>2.2994584282441865E-3</v>
      </c>
      <c r="R9" s="67"/>
      <c r="S9" s="67"/>
      <c r="T9" s="67"/>
      <c r="U9" s="67"/>
      <c r="V9" s="67"/>
    </row>
  </sheetData>
  <sheetProtection algorithmName="SHA-512" hashValue="zj7HS3q6GXoaqOgX/nRZMArgDifLZ/NW9U5xG4Yam2a/5Ye7+U0JWVE12ifYD7YK30mbcq1zbtJ1VLl4EDBswg==" saltValue="ujo0iPTqhG0+ZvetHkqW3g==" spinCount="100000" sheet="1" objects="1" scenarios="1"/>
  <mergeCells count="5">
    <mergeCell ref="A1:K1"/>
    <mergeCell ref="B3:F3"/>
    <mergeCell ref="G3:K3"/>
    <mergeCell ref="R3:V3"/>
    <mergeCell ref="W3:AA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9738-C62C-4FF5-9065-762E953B92DB}">
  <sheetPr codeName="Sheet2">
    <tabColor rgb="FFFFFFCC"/>
  </sheetPr>
  <dimension ref="A1:AC54"/>
  <sheetViews>
    <sheetView zoomScaleNormal="100" workbookViewId="0">
      <selection sqref="A1:K1"/>
    </sheetView>
  </sheetViews>
  <sheetFormatPr defaultRowHeight="15" x14ac:dyDescent="0.25"/>
  <cols>
    <col min="1" max="1" width="28.85546875" customWidth="1"/>
    <col min="3" max="3" width="8.85546875" customWidth="1"/>
    <col min="13" max="13" width="18.7109375" customWidth="1"/>
  </cols>
  <sheetData>
    <row r="1" spans="1:29" ht="15.75" x14ac:dyDescent="0.25">
      <c r="A1" s="261" t="s">
        <v>185</v>
      </c>
      <c r="B1" s="261"/>
      <c r="C1" s="261"/>
      <c r="D1" s="261"/>
      <c r="E1" s="261"/>
      <c r="F1" s="261"/>
      <c r="G1" s="261"/>
      <c r="H1" s="261"/>
      <c r="I1" s="261"/>
      <c r="J1" s="261"/>
      <c r="K1" s="261"/>
      <c r="M1" s="259" t="s">
        <v>135</v>
      </c>
      <c r="N1" s="259"/>
      <c r="O1" s="259"/>
      <c r="P1" s="259"/>
      <c r="Q1" s="259"/>
      <c r="R1" s="259"/>
      <c r="S1" s="259"/>
      <c r="T1" s="259"/>
    </row>
    <row r="2" spans="1:29" x14ac:dyDescent="0.25">
      <c r="A2" s="258" t="s">
        <v>260</v>
      </c>
      <c r="B2" s="258"/>
      <c r="C2" s="258"/>
      <c r="D2" s="258"/>
      <c r="E2" s="258"/>
      <c r="F2" s="258"/>
      <c r="G2" s="258"/>
      <c r="H2" s="258"/>
      <c r="I2" s="258"/>
      <c r="J2" s="258"/>
      <c r="K2" s="258"/>
    </row>
    <row r="3" spans="1:29" ht="15.75" thickBot="1" x14ac:dyDescent="0.3">
      <c r="M3" s="258" t="s">
        <v>158</v>
      </c>
      <c r="N3" s="258"/>
      <c r="O3" s="258"/>
      <c r="P3" s="258"/>
      <c r="Q3" s="258"/>
      <c r="R3" s="258"/>
      <c r="S3" s="258"/>
      <c r="T3" s="258"/>
      <c r="V3" s="260" t="s">
        <v>136</v>
      </c>
      <c r="W3" s="260"/>
      <c r="X3" s="260"/>
      <c r="Y3" s="260"/>
      <c r="Z3" s="260"/>
      <c r="AA3" s="260"/>
      <c r="AB3" s="260"/>
      <c r="AC3" s="260"/>
    </row>
    <row r="4" spans="1:29" x14ac:dyDescent="0.25">
      <c r="A4" s="39"/>
      <c r="B4" s="262" t="s">
        <v>15</v>
      </c>
      <c r="C4" s="263"/>
      <c r="D4" s="263"/>
      <c r="E4" s="263"/>
      <c r="F4" s="263"/>
      <c r="G4" s="263"/>
      <c r="H4" s="263"/>
      <c r="I4" s="264"/>
      <c r="J4" s="264"/>
      <c r="K4" s="265"/>
      <c r="N4" s="4" t="s">
        <v>137</v>
      </c>
      <c r="O4" s="4" t="s">
        <v>138</v>
      </c>
      <c r="P4" s="4" t="s">
        <v>138</v>
      </c>
      <c r="Q4" s="4" t="s">
        <v>159</v>
      </c>
      <c r="R4" s="4" t="s">
        <v>138</v>
      </c>
      <c r="S4" s="4" t="s">
        <v>137</v>
      </c>
      <c r="T4" s="4" t="s">
        <v>159</v>
      </c>
    </row>
    <row r="5" spans="1:29" ht="15.75" thickBot="1" x14ac:dyDescent="0.3">
      <c r="A5" s="40" t="s">
        <v>1</v>
      </c>
      <c r="B5" s="86">
        <v>2020</v>
      </c>
      <c r="C5" s="34">
        <v>2021</v>
      </c>
      <c r="D5" s="34">
        <v>2022</v>
      </c>
      <c r="E5" s="87">
        <v>2023</v>
      </c>
      <c r="F5" s="34">
        <v>2024</v>
      </c>
      <c r="G5" s="34">
        <v>2025</v>
      </c>
      <c r="H5" s="87">
        <v>2026</v>
      </c>
      <c r="I5" s="190">
        <v>2027</v>
      </c>
      <c r="J5" s="34">
        <v>2028</v>
      </c>
      <c r="K5" s="184">
        <v>2029</v>
      </c>
      <c r="M5" s="8" t="s">
        <v>1</v>
      </c>
      <c r="N5" s="7">
        <v>2020</v>
      </c>
      <c r="O5" s="7">
        <v>2023</v>
      </c>
      <c r="P5" s="7">
        <v>2026</v>
      </c>
      <c r="Q5" s="7">
        <v>2027</v>
      </c>
      <c r="R5" s="7">
        <v>2029</v>
      </c>
      <c r="S5" s="7">
        <v>2020</v>
      </c>
      <c r="T5" s="7">
        <v>2027</v>
      </c>
    </row>
    <row r="6" spans="1:29" x14ac:dyDescent="0.25">
      <c r="A6" s="41" t="s">
        <v>7</v>
      </c>
      <c r="B6" s="83">
        <f ca="1">'Emis-Rev5Pct'!C6</f>
        <v>0.57888435044623021</v>
      </c>
      <c r="C6" s="32">
        <f ca="1">'Emis-Rev5Pct'!D6</f>
        <v>0.59579328915866736</v>
      </c>
      <c r="D6" s="32">
        <f ca="1">'Emis-Rev5Pct'!E6</f>
        <v>0.60321767124376358</v>
      </c>
      <c r="E6" s="88">
        <f ca="1">'Emis-Rev5Pct'!F6</f>
        <v>0.60729481582339451</v>
      </c>
      <c r="F6" s="32">
        <f ca="1">'Emis-Rev5Pct'!G6</f>
        <v>0.61151708372888913</v>
      </c>
      <c r="G6" s="32">
        <f ca="1">'Emis-Rev5Pct'!H6</f>
        <v>0.6158409379624934</v>
      </c>
      <c r="H6" s="88">
        <f ca="1">'Emis-Rev5Pct'!I6</f>
        <v>0.61999427935994933</v>
      </c>
      <c r="I6" s="191">
        <f ca="1">'Emis-Rev5Pct'!J6</f>
        <v>0.62414762075740604</v>
      </c>
      <c r="J6" s="110">
        <f ca="1">'Emis-Rev5Pct'!K6</f>
        <v>0.62830096215486353</v>
      </c>
      <c r="K6" s="185">
        <f ca="1">'Emis-Rev5Pct'!L6</f>
        <v>0.63245430355231724</v>
      </c>
      <c r="M6" t="s">
        <v>7</v>
      </c>
      <c r="N6" s="2">
        <f t="shared" ref="N6" ca="1" si="0">B6</f>
        <v>0.57888435044623021</v>
      </c>
      <c r="O6" s="2">
        <f ca="1">E6</f>
        <v>0.60729481582339451</v>
      </c>
      <c r="P6" s="2">
        <f ca="1">H6</f>
        <v>0.61999427935994933</v>
      </c>
      <c r="Q6" s="2">
        <f ca="1">I6</f>
        <v>0.62414762075740604</v>
      </c>
      <c r="R6" s="2">
        <f t="shared" ref="R6" ca="1" si="1">K6</f>
        <v>0.63245430355231724</v>
      </c>
      <c r="S6" s="2">
        <f ca="1">N6</f>
        <v>0.57888435044623021</v>
      </c>
      <c r="T6" s="2">
        <f ca="1">I6</f>
        <v>0.62414762075740604</v>
      </c>
    </row>
    <row r="7" spans="1:29" x14ac:dyDescent="0.25">
      <c r="A7" s="42" t="s">
        <v>16</v>
      </c>
      <c r="B7" s="84">
        <f>'Emis-Rev5Pct'!C7</f>
        <v>1.9742296298884363</v>
      </c>
      <c r="C7" s="30">
        <f>'Emis-Rev5Pct'!D7</f>
        <v>1.7430023574252862</v>
      </c>
      <c r="D7" s="30">
        <f>'Emis-Rev5Pct'!E7</f>
        <v>1.5779339349250898</v>
      </c>
      <c r="E7" s="89">
        <f>'Emis-Rev5Pct'!F7</f>
        <v>1.47973444166005</v>
      </c>
      <c r="F7" s="30">
        <f ca="1">'Emis-Rev5Pct'!G7</f>
        <v>1.3332999999999999</v>
      </c>
      <c r="G7" s="30">
        <f ca="1">'Emis-Rev5Pct'!H7</f>
        <v>1.1437999999999999</v>
      </c>
      <c r="H7" s="89">
        <f ca="1">'Emis-Rev5Pct'!I7</f>
        <v>0.93940000000000001</v>
      </c>
      <c r="I7" s="192">
        <f ca="1">'Emis-Rev5Pct'!J7</f>
        <v>0.7389</v>
      </c>
      <c r="J7" s="30">
        <f ca="1">'Emis-Rev5Pct'!K7</f>
        <v>0.67630000000000001</v>
      </c>
      <c r="K7" s="186">
        <f ca="1">'Emis-Rev5Pct'!L7</f>
        <v>0.61040000000000005</v>
      </c>
      <c r="M7" t="s">
        <v>16</v>
      </c>
      <c r="N7" s="2">
        <f t="shared" ref="N7:N11" si="2">B7</f>
        <v>1.9742296298884363</v>
      </c>
      <c r="O7" s="2">
        <f t="shared" ref="O7:O11" si="3">E7</f>
        <v>1.47973444166005</v>
      </c>
      <c r="P7" s="2">
        <f t="shared" ref="P7:P11" ca="1" si="4">H7</f>
        <v>0.93940000000000001</v>
      </c>
      <c r="Q7" s="2">
        <f t="shared" ref="Q7:Q11" ca="1" si="5">I7</f>
        <v>0.7389</v>
      </c>
      <c r="R7" s="2">
        <f t="shared" ref="R7:R11" ca="1" si="6">K7</f>
        <v>0.61040000000000005</v>
      </c>
      <c r="S7" s="2">
        <f t="shared" ref="S7:S11" si="7">N7</f>
        <v>1.9742296298884363</v>
      </c>
      <c r="T7" s="2">
        <f t="shared" ref="T7:T11" ca="1" si="8">I7</f>
        <v>0.7389</v>
      </c>
    </row>
    <row r="8" spans="1:29" x14ac:dyDescent="0.25">
      <c r="A8" s="42" t="s">
        <v>17</v>
      </c>
      <c r="B8" s="84">
        <f ca="1">'Emis-Rev5Pct'!C8</f>
        <v>0.11409577588764884</v>
      </c>
      <c r="C8" s="38">
        <f ca="1">'Emis-Rev5Pct'!D8</f>
        <v>0.11560730030618761</v>
      </c>
      <c r="D8" s="38">
        <f ca="1">'Emis-Rev5Pct'!E8</f>
        <v>0.11752727250541077</v>
      </c>
      <c r="E8" s="90">
        <f ca="1">'Emis-Rev5Pct'!F8</f>
        <v>0.11925499360569412</v>
      </c>
      <c r="F8" s="38">
        <f ca="1">'Emis-Rev5Pct'!G8</f>
        <v>0.12093284221501384</v>
      </c>
      <c r="G8" s="38">
        <f ca="1">'Emis-Rev5Pct'!H8</f>
        <v>0.1225654474110935</v>
      </c>
      <c r="H8" s="89">
        <f ca="1">'Emis-Rev5Pct'!I8</f>
        <v>0.12403847550265712</v>
      </c>
      <c r="I8" s="193">
        <f ca="1">'Emis-Rev5Pct'!J8</f>
        <v>0.12551150359422081</v>
      </c>
      <c r="J8" s="30">
        <f ca="1">'Emis-Rev5Pct'!K8</f>
        <v>0.12698453168578447</v>
      </c>
      <c r="K8" s="186">
        <f ca="1">'Emis-Rev5Pct'!L8</f>
        <v>0.12845755977734816</v>
      </c>
      <c r="M8" t="s">
        <v>17</v>
      </c>
      <c r="N8" s="2">
        <f t="shared" ca="1" si="2"/>
        <v>0.11409577588764884</v>
      </c>
      <c r="O8" s="2">
        <f t="shared" ca="1" si="3"/>
        <v>0.11925499360569412</v>
      </c>
      <c r="P8" s="2">
        <f t="shared" ca="1" si="4"/>
        <v>0.12403847550265712</v>
      </c>
      <c r="Q8" s="2">
        <f t="shared" ca="1" si="5"/>
        <v>0.12551150359422081</v>
      </c>
      <c r="R8" s="2">
        <f t="shared" ca="1" si="6"/>
        <v>0.12845755977734816</v>
      </c>
      <c r="S8" s="2">
        <f t="shared" ca="1" si="7"/>
        <v>0.11409577588764884</v>
      </c>
      <c r="T8" s="2">
        <f t="shared" ca="1" si="8"/>
        <v>0.12551150359422081</v>
      </c>
    </row>
    <row r="9" spans="1:29" x14ac:dyDescent="0.25">
      <c r="A9" s="42" t="s">
        <v>19</v>
      </c>
      <c r="B9" s="84">
        <f ca="1">'Emis-Rev5Pct'!C9</f>
        <v>7.3874252162777848E-2</v>
      </c>
      <c r="C9" s="38">
        <f ca="1">'Emis-Rev5Pct'!D9</f>
        <v>6.6311608172033923E-2</v>
      </c>
      <c r="D9" s="38">
        <f ca="1">'Emis-Rev5Pct'!E9</f>
        <v>6.553027683826472E-2</v>
      </c>
      <c r="E9" s="90">
        <f ca="1">'Emis-Rev5Pct'!F9</f>
        <v>6.2414198118679466E-2</v>
      </c>
      <c r="F9" s="38">
        <f ca="1">'Emis-Rev5Pct'!G9</f>
        <v>5.8866499745154531E-2</v>
      </c>
      <c r="G9" s="38">
        <f ca="1">'Emis-Rev5Pct'!H9</f>
        <v>5.6045630458438661E-2</v>
      </c>
      <c r="H9" s="90">
        <f ca="1">'Emis-Rev5Pct'!I9</f>
        <v>5.3779949156334717E-2</v>
      </c>
      <c r="I9" s="193">
        <f ca="1">'Emis-Rev5Pct'!J9</f>
        <v>5.1612391272158692E-2</v>
      </c>
      <c r="J9" s="30">
        <f ca="1">'Emis-Rev5Pct'!K9</f>
        <v>4.8900307930087678E-2</v>
      </c>
      <c r="K9" s="186">
        <f ca="1">'Emis-Rev5Pct'!L9</f>
        <v>4.8497091722706893E-2</v>
      </c>
      <c r="M9" t="s">
        <v>19</v>
      </c>
      <c r="N9" s="2">
        <f t="shared" ca="1" si="2"/>
        <v>7.3874252162777848E-2</v>
      </c>
      <c r="O9" s="2">
        <f t="shared" ca="1" si="3"/>
        <v>6.2414198118679466E-2</v>
      </c>
      <c r="P9" s="2">
        <f t="shared" ca="1" si="4"/>
        <v>5.3779949156334717E-2</v>
      </c>
      <c r="Q9" s="2">
        <f t="shared" ca="1" si="5"/>
        <v>5.1612391272158692E-2</v>
      </c>
      <c r="R9" s="2">
        <f t="shared" ca="1" si="6"/>
        <v>4.8497091722706893E-2</v>
      </c>
      <c r="S9" s="2">
        <f t="shared" ca="1" si="7"/>
        <v>7.3874252162777848E-2</v>
      </c>
      <c r="T9" s="2">
        <f t="shared" ca="1" si="8"/>
        <v>5.1612391272158692E-2</v>
      </c>
    </row>
    <row r="10" spans="1:29" x14ac:dyDescent="0.25">
      <c r="A10" s="42" t="s">
        <v>173</v>
      </c>
      <c r="B10" s="112">
        <f ca="1">'Emis-Rev5Pct'!C10</f>
        <v>0.11865262133751975</v>
      </c>
      <c r="C10" s="103">
        <f ca="1">'Emis-Rev5Pct'!D10</f>
        <v>0.11949867241722079</v>
      </c>
      <c r="D10" s="103">
        <f ca="1">'Emis-Rev5Pct'!E10</f>
        <v>0.12035487610987838</v>
      </c>
      <c r="E10" s="113">
        <f ca="1">'Emis-Rev5Pct'!F10</f>
        <v>0.1212213542468478</v>
      </c>
      <c r="F10" s="103">
        <f ca="1">'Emis-Rev5Pct'!G10</f>
        <v>0.1212213542468478</v>
      </c>
      <c r="G10" s="103">
        <f ca="1">'Emis-Rev5Pct'!H10</f>
        <v>0.12298562850656918</v>
      </c>
      <c r="H10" s="113">
        <f ca="1">'Emis-Rev5Pct'!I10</f>
        <v>0.12388367567229894</v>
      </c>
      <c r="I10" s="194">
        <f ca="1">'Emis-Rev5Pct'!J10</f>
        <v>0.1247924994040174</v>
      </c>
      <c r="J10" s="30">
        <f ca="1">'Emis-Rev5Pct'!K10</f>
        <v>0.12571222902051643</v>
      </c>
      <c r="K10" s="187">
        <f ca="1">'Emis-Rev5Pct'!L10</f>
        <v>0.12664299539241358</v>
      </c>
      <c r="M10" t="s">
        <v>173</v>
      </c>
      <c r="N10" s="2">
        <f t="shared" ca="1" si="2"/>
        <v>0.11865262133751975</v>
      </c>
      <c r="O10" s="2">
        <f t="shared" ca="1" si="3"/>
        <v>0.1212213542468478</v>
      </c>
      <c r="P10" s="2">
        <f t="shared" ca="1" si="4"/>
        <v>0.12388367567229894</v>
      </c>
      <c r="Q10" s="2">
        <f t="shared" ca="1" si="5"/>
        <v>0.1247924994040174</v>
      </c>
      <c r="R10" s="2">
        <f t="shared" ca="1" si="6"/>
        <v>0.12664299539241358</v>
      </c>
      <c r="S10" s="2">
        <f t="shared" ca="1" si="7"/>
        <v>0.11865262133751975</v>
      </c>
      <c r="T10" s="2">
        <f t="shared" ca="1" si="8"/>
        <v>0.1247924994040174</v>
      </c>
    </row>
    <row r="11" spans="1:29" ht="15.75" thickBot="1" x14ac:dyDescent="0.3">
      <c r="A11" s="46" t="s">
        <v>174</v>
      </c>
      <c r="B11" s="85">
        <f ca="1">'Emis-Rev5Pct'!C11</f>
        <v>8.992173675013021E-2</v>
      </c>
      <c r="C11" s="47">
        <f ca="1">'Emis-Rev5Pct'!D11</f>
        <v>8.8048319029695565E-2</v>
      </c>
      <c r="D11" s="47">
        <f ca="1">'Emis-Rev5Pct'!E11</f>
        <v>8.5681072816256643E-2</v>
      </c>
      <c r="E11" s="91">
        <f ca="1">'Emis-Rev5Pct'!F11</f>
        <v>8.3264250106762389E-2</v>
      </c>
      <c r="F11" s="47">
        <f ca="1">'Emis-Rev5Pct'!G11</f>
        <v>8.0590913375696321E-2</v>
      </c>
      <c r="G11" s="47">
        <f ca="1">'Emis-Rev5Pct'!H11</f>
        <v>7.7389510654157126E-2</v>
      </c>
      <c r="H11" s="91">
        <f ca="1">'Emis-Rev5Pct'!I11</f>
        <v>7.6972836001024642E-2</v>
      </c>
      <c r="I11" s="195">
        <f ca="1">'Emis-Rev5Pct'!J11</f>
        <v>7.6903436266314074E-2</v>
      </c>
      <c r="J11" s="111">
        <f ca="1">'Emis-Rev5Pct'!K11</f>
        <v>7.8196497322769898E-2</v>
      </c>
      <c r="K11" s="188">
        <f ca="1">'Emis-Rev5Pct'!L11</f>
        <v>7.6138467357425299E-2</v>
      </c>
      <c r="M11" s="8" t="s">
        <v>18</v>
      </c>
      <c r="N11" s="199">
        <f t="shared" ca="1" si="2"/>
        <v>8.992173675013021E-2</v>
      </c>
      <c r="O11" s="199">
        <f t="shared" ca="1" si="3"/>
        <v>8.3264250106762389E-2</v>
      </c>
      <c r="P11" s="199">
        <f t="shared" ca="1" si="4"/>
        <v>7.6972836001024642E-2</v>
      </c>
      <c r="Q11" s="199">
        <f t="shared" ca="1" si="5"/>
        <v>7.6903436266314074E-2</v>
      </c>
      <c r="R11" s="199">
        <f t="shared" ca="1" si="6"/>
        <v>7.6138467357425299E-2</v>
      </c>
      <c r="S11" s="199">
        <f t="shared" ca="1" si="7"/>
        <v>8.992173675013021E-2</v>
      </c>
      <c r="T11" s="199">
        <f t="shared" ca="1" si="8"/>
        <v>7.6903436266314074E-2</v>
      </c>
    </row>
    <row r="12" spans="1:29" ht="15.75" thickBot="1" x14ac:dyDescent="0.3">
      <c r="A12" s="43" t="s">
        <v>10</v>
      </c>
      <c r="B12" s="93">
        <f ca="1">SUM(B6:B11)</f>
        <v>2.9496583664727427</v>
      </c>
      <c r="C12" s="44">
        <f t="shared" ref="C12:K12" ca="1" si="9">SUM(C6:C11)</f>
        <v>2.7282615465090916</v>
      </c>
      <c r="D12" s="44">
        <f t="shared" ca="1" si="9"/>
        <v>2.5702451044386638</v>
      </c>
      <c r="E12" s="92">
        <f t="shared" ca="1" si="9"/>
        <v>2.473184053561428</v>
      </c>
      <c r="F12" s="44">
        <f t="shared" ca="1" si="9"/>
        <v>2.3264286933116018</v>
      </c>
      <c r="G12" s="44">
        <f t="shared" ca="1" si="9"/>
        <v>2.138627154992752</v>
      </c>
      <c r="H12" s="92">
        <f t="shared" ca="1" si="9"/>
        <v>1.9380692156922648</v>
      </c>
      <c r="I12" s="196">
        <f t="shared" ca="1" si="9"/>
        <v>1.741867451294117</v>
      </c>
      <c r="J12" s="44">
        <f t="shared" ca="1" si="9"/>
        <v>1.684394528114022</v>
      </c>
      <c r="K12" s="189">
        <f t="shared" ca="1" si="9"/>
        <v>1.6225904178022112</v>
      </c>
      <c r="M12" s="1" t="s">
        <v>10</v>
      </c>
      <c r="N12" s="3">
        <f t="shared" ref="N12" ca="1" si="10">B12</f>
        <v>2.9496583664727427</v>
      </c>
      <c r="O12" s="3">
        <f t="shared" ref="O12" ca="1" si="11">E12</f>
        <v>2.473184053561428</v>
      </c>
      <c r="P12" s="3">
        <f t="shared" ref="P12" ca="1" si="12">H12</f>
        <v>1.9380692156922648</v>
      </c>
      <c r="Q12" s="3">
        <f t="shared" ref="Q12" ca="1" si="13">I12</f>
        <v>1.741867451294117</v>
      </c>
      <c r="R12" s="3">
        <f t="shared" ref="R12" ca="1" si="14">K12</f>
        <v>1.6225904178022112</v>
      </c>
      <c r="S12" s="3">
        <f t="shared" ref="S12" ca="1" si="15">N12</f>
        <v>2.9496583664727427</v>
      </c>
      <c r="T12" s="3">
        <f t="shared" ref="T12" ca="1" si="16">I12</f>
        <v>1.741867451294117</v>
      </c>
    </row>
    <row r="13" spans="1:29" x14ac:dyDescent="0.25">
      <c r="A13" s="70" t="s">
        <v>160</v>
      </c>
      <c r="C13" s="94">
        <f ca="1">C9/C12</f>
        <v>2.4305443976543231E-2</v>
      </c>
      <c r="D13" s="1"/>
      <c r="E13" s="1"/>
      <c r="F13" s="94">
        <f ca="1">F9/F12</f>
        <v>2.5303375905908306E-2</v>
      </c>
      <c r="G13" s="94">
        <f ca="1">G9/G12</f>
        <v>2.6206358751031854E-2</v>
      </c>
      <c r="H13" s="1"/>
      <c r="I13" s="1"/>
      <c r="J13" s="1"/>
      <c r="K13" s="94">
        <f ca="1">K9/K12</f>
        <v>2.9888683669410488E-2</v>
      </c>
      <c r="M13" s="1" t="s">
        <v>139</v>
      </c>
      <c r="N13" s="3">
        <f ca="1">B15</f>
        <v>2.9496583664727427</v>
      </c>
      <c r="O13" s="3">
        <f ca="1">E15</f>
        <v>2.4320336885390459</v>
      </c>
      <c r="P13" s="3">
        <f t="shared" ref="P13:Q15" ca="1" si="17">H15</f>
        <v>1.9144090106053491</v>
      </c>
      <c r="Q13" s="3">
        <f t="shared" ca="1" si="17"/>
        <v>1.7418674512941168</v>
      </c>
      <c r="R13" s="3">
        <f ca="1">K15</f>
        <v>1.7418674512941168</v>
      </c>
      <c r="S13" s="3">
        <f t="shared" ref="S13" ca="1" si="18">N13</f>
        <v>2.9496583664727427</v>
      </c>
      <c r="T13" s="3">
        <f ca="1">I15</f>
        <v>1.7418674512941168</v>
      </c>
    </row>
    <row r="14" spans="1:29" x14ac:dyDescent="0.25">
      <c r="A14" s="70" t="s">
        <v>146</v>
      </c>
      <c r="B14" s="3">
        <f ca="1">-(I12-B12)/(I5-B5)</f>
        <v>0.17254155931123225</v>
      </c>
      <c r="C14" t="s">
        <v>261</v>
      </c>
      <c r="M14" s="1" t="s">
        <v>140</v>
      </c>
      <c r="N14" s="2"/>
      <c r="O14" s="3">
        <f ca="1">E16</f>
        <v>0.51762467793369671</v>
      </c>
      <c r="P14" s="3">
        <f t="shared" ca="1" si="17"/>
        <v>1.0352493558673934</v>
      </c>
      <c r="Q14" s="3">
        <f t="shared" ca="1" si="17"/>
        <v>1.2077909151786257</v>
      </c>
      <c r="R14" s="3">
        <f ca="1">K16</f>
        <v>1.2077909151786257</v>
      </c>
      <c r="S14" s="200"/>
      <c r="T14" s="6">
        <f ca="1">I16</f>
        <v>1.2077909151786257</v>
      </c>
    </row>
    <row r="15" spans="1:29" x14ac:dyDescent="0.25">
      <c r="A15" s="70" t="s">
        <v>153</v>
      </c>
      <c r="B15" s="3">
        <f ca="1">B12</f>
        <v>2.9496583664727427</v>
      </c>
      <c r="C15" s="3">
        <f ca="1">B15-$B14</f>
        <v>2.7771168071615104</v>
      </c>
      <c r="D15" s="3">
        <f t="shared" ref="D15:G15" ca="1" si="19">C15-$B14</f>
        <v>2.6045752478502782</v>
      </c>
      <c r="E15" s="3">
        <f t="shared" ca="1" si="19"/>
        <v>2.4320336885390459</v>
      </c>
      <c r="F15" s="3">
        <f t="shared" ca="1" si="19"/>
        <v>2.2594921292278136</v>
      </c>
      <c r="G15" s="3">
        <f t="shared" ca="1" si="19"/>
        <v>2.0869505699165813</v>
      </c>
      <c r="H15" s="3">
        <f t="shared" ref="H15" ca="1" si="20">G15-$B14</f>
        <v>1.9144090106053491</v>
      </c>
      <c r="I15" s="3">
        <f t="shared" ref="I15" ca="1" si="21">H15-$B14</f>
        <v>1.7418674512941168</v>
      </c>
      <c r="J15" s="3">
        <f ca="1">$I15</f>
        <v>1.7418674512941168</v>
      </c>
      <c r="K15" s="3">
        <f ca="1">$I15</f>
        <v>1.7418674512941168</v>
      </c>
      <c r="M15" s="1" t="s">
        <v>141</v>
      </c>
      <c r="N15" s="2"/>
      <c r="O15" s="3">
        <f ca="1">E17</f>
        <v>0.4764743129113147</v>
      </c>
      <c r="P15" s="3">
        <f t="shared" ca="1" si="17"/>
        <v>1.011589150780478</v>
      </c>
      <c r="Q15" s="3">
        <f t="shared" ca="1" si="17"/>
        <v>1.2077909151786257</v>
      </c>
      <c r="R15" s="3">
        <f ca="1">K17</f>
        <v>1.3270679486705315</v>
      </c>
      <c r="S15" s="200"/>
      <c r="T15" s="3">
        <f ca="1">I17</f>
        <v>1.2077909151786257</v>
      </c>
    </row>
    <row r="16" spans="1:29" x14ac:dyDescent="0.25">
      <c r="A16" s="70" t="s">
        <v>97</v>
      </c>
      <c r="B16" s="71"/>
      <c r="C16" s="3">
        <f ca="1">$B14</f>
        <v>0.17254155931123225</v>
      </c>
      <c r="D16" s="3">
        <f ca="1">C16+$B14</f>
        <v>0.34508311862246449</v>
      </c>
      <c r="E16" s="6">
        <f t="shared" ref="E16" ca="1" si="22">D16+$B14</f>
        <v>0.51762467793369671</v>
      </c>
      <c r="F16" s="3">
        <f t="shared" ref="F16" ca="1" si="23">E16+$B14</f>
        <v>0.69016623724492898</v>
      </c>
      <c r="G16" s="3">
        <f t="shared" ref="G16" ca="1" si="24">F16+$B14</f>
        <v>0.86270779655616125</v>
      </c>
      <c r="H16" s="6">
        <f t="shared" ref="H16" ca="1" si="25">G16+$B14</f>
        <v>1.0352493558673934</v>
      </c>
      <c r="I16" s="197">
        <f t="shared" ref="I16" ca="1" si="26">H16+$B14</f>
        <v>1.2077909151786257</v>
      </c>
      <c r="J16" s="3">
        <f ca="1">$I16</f>
        <v>1.2077909151786257</v>
      </c>
      <c r="K16" s="6">
        <f ca="1">$I16</f>
        <v>1.2077909151786257</v>
      </c>
      <c r="M16" s="1" t="s">
        <v>142</v>
      </c>
      <c r="O16" s="70" t="str">
        <f ca="1">IF(ROUND(O15,2)&gt;=ROUND(O14,2),"Yes","No")</f>
        <v>No</v>
      </c>
      <c r="P16" s="70" t="str">
        <f t="shared" ref="P16" ca="1" si="27">IF(ROUND(P15,2)&gt;=ROUND(P14,2),"Yes","No")</f>
        <v>No</v>
      </c>
      <c r="Q16" s="70" t="str">
        <f t="shared" ref="Q16" ca="1" si="28">IF(ROUND(Q15,2)&gt;=ROUND(Q14,2),"Yes","No")</f>
        <v>Yes</v>
      </c>
      <c r="R16" s="70" t="str">
        <f t="shared" ref="R16" ca="1" si="29">IF(ROUND(R15,2)&gt;=ROUND(R14,2),"Yes","No")</f>
        <v>Yes</v>
      </c>
      <c r="S16" s="70"/>
      <c r="T16" s="70" t="str">
        <f ca="1">IF(ROUND(T15,2)&gt;=ROUND(T14,2),"Yes","No")</f>
        <v>Yes</v>
      </c>
    </row>
    <row r="17" spans="1:29" x14ac:dyDescent="0.25">
      <c r="A17" s="70" t="s">
        <v>98</v>
      </c>
      <c r="B17" s="71"/>
      <c r="C17" s="72">
        <f ca="1">$B12-C12</f>
        <v>0.22139681996365113</v>
      </c>
      <c r="D17" s="72">
        <f t="shared" ref="D17:G17" ca="1" si="30">$B12-D12</f>
        <v>0.37941326203407888</v>
      </c>
      <c r="E17" s="183">
        <f t="shared" ca="1" si="30"/>
        <v>0.4764743129113147</v>
      </c>
      <c r="F17" s="72">
        <f t="shared" ca="1" si="30"/>
        <v>0.62322967316114086</v>
      </c>
      <c r="G17" s="72">
        <f t="shared" ca="1" si="30"/>
        <v>0.81103121147999069</v>
      </c>
      <c r="H17" s="183">
        <f t="shared" ref="H17:K17" ca="1" si="31">$B12-H12</f>
        <v>1.011589150780478</v>
      </c>
      <c r="I17" s="198">
        <f t="shared" ca="1" si="31"/>
        <v>1.2077909151786257</v>
      </c>
      <c r="J17" s="72">
        <f t="shared" ca="1" si="31"/>
        <v>1.2652638383587207</v>
      </c>
      <c r="K17" s="183">
        <f t="shared" ca="1" si="31"/>
        <v>1.3270679486705315</v>
      </c>
      <c r="M17" s="1"/>
      <c r="O17" s="79"/>
      <c r="P17" s="79"/>
      <c r="Q17" s="79"/>
      <c r="R17" s="79"/>
      <c r="S17" s="79"/>
      <c r="T17" s="79"/>
    </row>
    <row r="18" spans="1:29" x14ac:dyDescent="0.25">
      <c r="A18" s="70" t="s">
        <v>99</v>
      </c>
      <c r="B18" s="71"/>
      <c r="C18" s="73">
        <f ca="1">C17-C16</f>
        <v>4.885526065241888E-2</v>
      </c>
      <c r="D18" s="73">
        <f t="shared" ref="D18:G18" ca="1" si="32">D17-D16</f>
        <v>3.4330143411614389E-2</v>
      </c>
      <c r="E18" s="73">
        <f t="shared" ca="1" si="32"/>
        <v>-4.1150365022382007E-2</v>
      </c>
      <c r="F18" s="73">
        <f t="shared" ca="1" si="32"/>
        <v>-6.6936564083788119E-2</v>
      </c>
      <c r="G18" s="73">
        <f t="shared" ca="1" si="32"/>
        <v>-5.1676585076170567E-2</v>
      </c>
      <c r="H18" s="73">
        <f t="shared" ref="H18:K18" ca="1" si="33">H17-H16</f>
        <v>-2.3660205086915465E-2</v>
      </c>
      <c r="I18" s="73">
        <f t="shared" ca="1" si="33"/>
        <v>0</v>
      </c>
      <c r="J18" s="73">
        <f t="shared" ca="1" si="33"/>
        <v>5.7472923180095004E-2</v>
      </c>
      <c r="K18" s="73">
        <f t="shared" ca="1" si="33"/>
        <v>0.11927703349190577</v>
      </c>
    </row>
    <row r="21" spans="1:29" ht="15.75" thickBot="1" x14ac:dyDescent="0.3">
      <c r="M21" s="258" t="s">
        <v>156</v>
      </c>
      <c r="N21" s="258"/>
      <c r="O21" s="258"/>
      <c r="P21" s="258"/>
      <c r="Q21" s="258"/>
      <c r="R21" s="258"/>
      <c r="S21" s="258"/>
      <c r="T21" s="258"/>
    </row>
    <row r="22" spans="1:29" x14ac:dyDescent="0.25">
      <c r="A22" s="39"/>
      <c r="B22" s="266" t="s">
        <v>59</v>
      </c>
      <c r="C22" s="263"/>
      <c r="D22" s="263"/>
      <c r="E22" s="263"/>
      <c r="F22" s="263"/>
      <c r="G22" s="263"/>
      <c r="H22" s="263"/>
      <c r="I22" s="264"/>
      <c r="J22" s="264"/>
      <c r="K22" s="265"/>
      <c r="N22" s="4" t="s">
        <v>137</v>
      </c>
      <c r="O22" s="4" t="s">
        <v>138</v>
      </c>
      <c r="P22" s="4" t="s">
        <v>138</v>
      </c>
      <c r="Q22" s="4" t="s">
        <v>159</v>
      </c>
      <c r="R22" s="4" t="s">
        <v>138</v>
      </c>
      <c r="S22" s="4" t="s">
        <v>137</v>
      </c>
      <c r="T22" s="4" t="s">
        <v>159</v>
      </c>
      <c r="V22" s="260" t="s">
        <v>143</v>
      </c>
      <c r="W22" s="260"/>
      <c r="X22" s="260"/>
      <c r="Y22" s="260"/>
      <c r="Z22" s="260"/>
      <c r="AA22" s="260"/>
      <c r="AB22" s="260"/>
      <c r="AC22" s="260"/>
    </row>
    <row r="23" spans="1:29" ht="15.75" thickBot="1" x14ac:dyDescent="0.3">
      <c r="A23" s="40" t="s">
        <v>1</v>
      </c>
      <c r="B23" s="86">
        <v>2020</v>
      </c>
      <c r="C23" s="34">
        <v>2021</v>
      </c>
      <c r="D23" s="34">
        <v>2022</v>
      </c>
      <c r="E23" s="87">
        <v>2023</v>
      </c>
      <c r="F23" s="34">
        <v>2024</v>
      </c>
      <c r="G23" s="34">
        <v>2025</v>
      </c>
      <c r="H23" s="87">
        <v>2026</v>
      </c>
      <c r="I23" s="190">
        <v>2027</v>
      </c>
      <c r="J23" s="34">
        <v>2028</v>
      </c>
      <c r="K23" s="184">
        <v>2029</v>
      </c>
      <c r="M23" s="8" t="s">
        <v>1</v>
      </c>
      <c r="N23" s="7">
        <v>2020</v>
      </c>
      <c r="O23" s="7">
        <v>2023</v>
      </c>
      <c r="P23" s="7">
        <v>2026</v>
      </c>
      <c r="Q23" s="7">
        <v>2027</v>
      </c>
      <c r="R23" s="7">
        <v>2029</v>
      </c>
      <c r="S23" s="7">
        <v>2020</v>
      </c>
      <c r="T23" s="7">
        <v>2027</v>
      </c>
    </row>
    <row r="24" spans="1:29" x14ac:dyDescent="0.25">
      <c r="A24" s="41" t="s">
        <v>7</v>
      </c>
      <c r="B24" s="83">
        <f ca="1">'Emis-Rev5Pct'!C24</f>
        <v>6.6268895078480279</v>
      </c>
      <c r="C24" s="32">
        <f ca="1">'Emis-Rev5Pct'!D24</f>
        <v>6.8204578232739177</v>
      </c>
      <c r="D24" s="32">
        <f ca="1">'Emis-Rev5Pct'!E24</f>
        <v>6.9054498596004308</v>
      </c>
      <c r="E24" s="88">
        <f ca="1">'Emis-Rev5Pct'!F24</f>
        <v>6.9521237532994364</v>
      </c>
      <c r="F24" s="32">
        <f ca="1">'Emis-Rev5Pct'!G24</f>
        <v>7.0004589740748484</v>
      </c>
      <c r="G24" s="32">
        <f ca="1">'Emis-Rev5Pct'!H24</f>
        <v>7.0499571238037939</v>
      </c>
      <c r="H24" s="88">
        <f ca="1">'Emis-Rev5Pct'!I24</f>
        <v>7.0975032951730768</v>
      </c>
      <c r="I24" s="191">
        <f ca="1">'Emis-Rev5Pct'!J24</f>
        <v>7.1450494665423605</v>
      </c>
      <c r="J24" s="110">
        <f ca="1">'Emis-Rev5Pct'!K24</f>
        <v>7.1925956379116434</v>
      </c>
      <c r="K24" s="185">
        <f ca="1">'Emis-Rev5Pct'!L24</f>
        <v>7.2401418092809253</v>
      </c>
      <c r="M24" t="s">
        <v>7</v>
      </c>
      <c r="N24" s="2">
        <f t="shared" ref="N24:N30" ca="1" si="34">B24</f>
        <v>6.6268895078480279</v>
      </c>
      <c r="O24" s="2">
        <f ca="1">E24</f>
        <v>6.9521237532994364</v>
      </c>
      <c r="P24" s="2">
        <f ca="1">H24</f>
        <v>7.0975032951730768</v>
      </c>
      <c r="Q24" s="2">
        <f ca="1">I24</f>
        <v>7.1450494665423605</v>
      </c>
      <c r="R24" s="2">
        <f t="shared" ref="R24:R30" ca="1" si="35">K24</f>
        <v>7.2401418092809253</v>
      </c>
      <c r="S24" s="2">
        <f ca="1">N24</f>
        <v>6.6268895078480279</v>
      </c>
      <c r="T24" s="2">
        <f ca="1">I24</f>
        <v>7.1450494665423605</v>
      </c>
    </row>
    <row r="25" spans="1:29" x14ac:dyDescent="0.25">
      <c r="A25" s="42" t="s">
        <v>16</v>
      </c>
      <c r="B25" s="84">
        <f>'Emis-Rev5Pct'!C25</f>
        <v>3.6057380189532773</v>
      </c>
      <c r="C25" s="30">
        <f>'Emis-Rev5Pct'!D25</f>
        <v>3.7141559970728371</v>
      </c>
      <c r="D25" s="30">
        <f>'Emis-Rev5Pct'!E25</f>
        <v>3.7293813463193666</v>
      </c>
      <c r="E25" s="89">
        <f>'Emis-Rev5Pct'!F25</f>
        <v>2.3747196064240552</v>
      </c>
      <c r="F25" s="30">
        <f ca="1">'Emis-Rev5Pct'!G25</f>
        <v>1.9664999999999999</v>
      </c>
      <c r="G25" s="30">
        <f ca="1">'Emis-Rev5Pct'!H25</f>
        <v>1.9702999999999999</v>
      </c>
      <c r="H25" s="89">
        <f ca="1">'Emis-Rev5Pct'!I25</f>
        <v>1.9755</v>
      </c>
      <c r="I25" s="192">
        <f ca="1">'Emis-Rev5Pct'!J25</f>
        <v>1.9803999999999999</v>
      </c>
      <c r="J25" s="30">
        <f ca="1">'Emis-Rev5Pct'!K25</f>
        <v>1.9857</v>
      </c>
      <c r="K25" s="186">
        <f ca="1">'Emis-Rev5Pct'!L25</f>
        <v>1.9902</v>
      </c>
      <c r="M25" t="s">
        <v>16</v>
      </c>
      <c r="N25" s="2">
        <f t="shared" si="34"/>
        <v>3.6057380189532773</v>
      </c>
      <c r="O25" s="2">
        <f t="shared" ref="O25:O30" si="36">E25</f>
        <v>2.3747196064240552</v>
      </c>
      <c r="P25" s="2">
        <f t="shared" ref="P25:P30" ca="1" si="37">H25</f>
        <v>1.9755</v>
      </c>
      <c r="Q25" s="2">
        <f t="shared" ref="Q25:Q30" ca="1" si="38">I25</f>
        <v>1.9803999999999999</v>
      </c>
      <c r="R25" s="2">
        <f t="shared" ca="1" si="35"/>
        <v>1.9902</v>
      </c>
      <c r="S25" s="2">
        <f t="shared" ref="S25:S31" si="39">N25</f>
        <v>3.6057380189532773</v>
      </c>
      <c r="T25" s="2">
        <f t="shared" ref="T25:T30" ca="1" si="40">I25</f>
        <v>1.9803999999999999</v>
      </c>
    </row>
    <row r="26" spans="1:29" x14ac:dyDescent="0.25">
      <c r="A26" s="42" t="s">
        <v>17</v>
      </c>
      <c r="B26" s="84">
        <f ca="1">'Emis-Rev5Pct'!C26</f>
        <v>2.8463398234057986E-2</v>
      </c>
      <c r="C26" s="38">
        <f ca="1">'Emis-Rev5Pct'!D26</f>
        <v>2.8840477237471199E-2</v>
      </c>
      <c r="D26" s="38">
        <f ca="1">'Emis-Rev5Pct'!E26</f>
        <v>2.9319451440325311E-2</v>
      </c>
      <c r="E26" s="90">
        <f ca="1">'Emis-Rev5Pct'!F26</f>
        <v>2.9750464887862375E-2</v>
      </c>
      <c r="F26" s="38">
        <f ca="1">'Emis-Rev5Pct'!G26</f>
        <v>3.0169036677851802E-2</v>
      </c>
      <c r="G26" s="38">
        <f ca="1">'Emis-Rev5Pct'!H26</f>
        <v>3.0576321623271403E-2</v>
      </c>
      <c r="H26" s="89">
        <f ca="1">'Emis-Rev5Pct'!I26</f>
        <v>3.0943796973291523E-2</v>
      </c>
      <c r="I26" s="193">
        <f ca="1">'Emis-Rev5Pct'!J26</f>
        <v>3.1311272323311642E-2</v>
      </c>
      <c r="J26" s="30">
        <f ca="1">'Emis-Rev5Pct'!K26</f>
        <v>3.1678747673331759E-2</v>
      </c>
      <c r="K26" s="186">
        <f ca="1">'Emis-Rev5Pct'!L26</f>
        <v>3.2046223023351889E-2</v>
      </c>
      <c r="M26" t="s">
        <v>17</v>
      </c>
      <c r="N26" s="2">
        <f t="shared" ca="1" si="34"/>
        <v>2.8463398234057986E-2</v>
      </c>
      <c r="O26" s="2">
        <f t="shared" ca="1" si="36"/>
        <v>2.9750464887862375E-2</v>
      </c>
      <c r="P26" s="2">
        <f t="shared" ca="1" si="37"/>
        <v>3.0943796973291523E-2</v>
      </c>
      <c r="Q26" s="2">
        <f t="shared" ca="1" si="38"/>
        <v>3.1311272323311642E-2</v>
      </c>
      <c r="R26" s="2">
        <f t="shared" ca="1" si="35"/>
        <v>3.2046223023351889E-2</v>
      </c>
      <c r="S26" s="2">
        <f t="shared" ca="1" si="39"/>
        <v>2.8463398234057986E-2</v>
      </c>
      <c r="T26" s="2">
        <f t="shared" ca="1" si="40"/>
        <v>3.1311272323311642E-2</v>
      </c>
    </row>
    <row r="27" spans="1:29" x14ac:dyDescent="0.25">
      <c r="A27" s="42" t="s">
        <v>19</v>
      </c>
      <c r="B27" s="84">
        <f ca="1">'Emis-Rev5Pct'!C27</f>
        <v>2.7453689936435769E-3</v>
      </c>
      <c r="C27" s="38">
        <f ca="1">'Emis-Rev5Pct'!D27</f>
        <v>2.6754378538783549E-3</v>
      </c>
      <c r="D27" s="38">
        <f ca="1">'Emis-Rev5Pct'!E27</f>
        <v>2.744684522169341E-3</v>
      </c>
      <c r="E27" s="90">
        <f ca="1">'Emis-Rev5Pct'!F27</f>
        <v>2.6897315522799972E-3</v>
      </c>
      <c r="F27" s="38">
        <f ca="1">'Emis-Rev5Pct'!G27</f>
        <v>2.6372746674138488E-3</v>
      </c>
      <c r="G27" s="38">
        <f ca="1">'Emis-Rev5Pct'!H27</f>
        <v>2.5889091708837346E-3</v>
      </c>
      <c r="H27" s="90">
        <f ca="1">'Emis-Rev5Pct'!I27</f>
        <v>2.5410560249381499E-3</v>
      </c>
      <c r="I27" s="193">
        <f ca="1">'Emis-Rev5Pct'!J27</f>
        <v>2.5017007089312964E-3</v>
      </c>
      <c r="J27" s="30">
        <f ca="1">'Emis-Rev5Pct'!K27</f>
        <v>2.4630953742018E-3</v>
      </c>
      <c r="K27" s="186">
        <f ca="1">'Emis-Rev5Pct'!L27</f>
        <v>2.4621714910392609E-3</v>
      </c>
      <c r="M27" t="s">
        <v>19</v>
      </c>
      <c r="N27" s="2">
        <f t="shared" ca="1" si="34"/>
        <v>2.7453689936435769E-3</v>
      </c>
      <c r="O27" s="2">
        <f t="shared" ca="1" si="36"/>
        <v>2.6897315522799972E-3</v>
      </c>
      <c r="P27" s="2">
        <f t="shared" ca="1" si="37"/>
        <v>2.5410560249381499E-3</v>
      </c>
      <c r="Q27" s="2">
        <f t="shared" ca="1" si="38"/>
        <v>2.5017007089312964E-3</v>
      </c>
      <c r="R27" s="2">
        <f t="shared" ca="1" si="35"/>
        <v>2.4621714910392609E-3</v>
      </c>
      <c r="S27" s="2">
        <f t="shared" ca="1" si="39"/>
        <v>2.7453689936435769E-3</v>
      </c>
      <c r="T27" s="2">
        <f t="shared" ca="1" si="40"/>
        <v>2.5017007089312964E-3</v>
      </c>
    </row>
    <row r="28" spans="1:29" x14ac:dyDescent="0.25">
      <c r="A28" s="42" t="s">
        <v>173</v>
      </c>
      <c r="B28" s="112">
        <f ca="1">'Emis-Rev5Pct'!C28</f>
        <v>5.441017075551505</v>
      </c>
      <c r="C28" s="103">
        <f ca="1">'Emis-Rev5Pct'!D28</f>
        <v>5.4760462035408617</v>
      </c>
      <c r="D28" s="103">
        <f ca="1">'Emis-Rev5Pct'!E28</f>
        <v>5.511495681066096</v>
      </c>
      <c r="E28" s="113">
        <f ca="1">'Emis-Rev5Pct'!F28</f>
        <v>5.547370552321631</v>
      </c>
      <c r="F28" s="103">
        <f ca="1">'Emis-Rev5Pct'!G28</f>
        <v>5.547370552321631</v>
      </c>
      <c r="G28" s="103">
        <f ca="1">'Emis-Rev5Pct'!H28</f>
        <v>5.620416956179362</v>
      </c>
      <c r="H28" s="113">
        <f ca="1">'Emis-Rev5Pct'!I28</f>
        <v>5.6575988827362522</v>
      </c>
      <c r="I28" s="194">
        <f ca="1">'Emis-Rev5Pct'!J28</f>
        <v>5.6952269924118308</v>
      </c>
      <c r="J28" s="30">
        <f ca="1">'Emis-Rev5Pct'!K28</f>
        <v>5.733306639403513</v>
      </c>
      <c r="K28" s="187">
        <f ca="1">'Emis-Rev5Pct'!L28</f>
        <v>5.7718432421590986</v>
      </c>
      <c r="M28" t="s">
        <v>173</v>
      </c>
      <c r="N28" s="2">
        <f t="shared" ca="1" si="34"/>
        <v>5.441017075551505</v>
      </c>
      <c r="O28" s="2">
        <f t="shared" ca="1" si="36"/>
        <v>5.547370552321631</v>
      </c>
      <c r="P28" s="2">
        <f t="shared" ca="1" si="37"/>
        <v>5.6575988827362522</v>
      </c>
      <c r="Q28" s="2">
        <f t="shared" ca="1" si="38"/>
        <v>5.6952269924118308</v>
      </c>
      <c r="R28" s="2">
        <f t="shared" ca="1" si="35"/>
        <v>5.7718432421590986</v>
      </c>
      <c r="S28" s="2">
        <f t="shared" ca="1" si="39"/>
        <v>5.441017075551505</v>
      </c>
      <c r="T28" s="2">
        <f t="shared" ca="1" si="40"/>
        <v>5.6952269924118308</v>
      </c>
    </row>
    <row r="29" spans="1:29" ht="15.75" thickBot="1" x14ac:dyDescent="0.3">
      <c r="A29" s="46" t="s">
        <v>174</v>
      </c>
      <c r="B29" s="85">
        <f ca="1">'Emis-Rev5Pct'!C29</f>
        <v>2.2725169530355416E-3</v>
      </c>
      <c r="C29" s="47">
        <f ca="1">'Emis-Rev5Pct'!D29</f>
        <v>2.2725169530355416E-3</v>
      </c>
      <c r="D29" s="47">
        <f ca="1">'Emis-Rev5Pct'!E29</f>
        <v>2.2725169530355416E-3</v>
      </c>
      <c r="E29" s="91">
        <f ca="1">'Emis-Rev5Pct'!F29</f>
        <v>2.2725169530355416E-3</v>
      </c>
      <c r="F29" s="47">
        <f ca="1">'Emis-Rev5Pct'!G29</f>
        <v>2.2725169530355416E-3</v>
      </c>
      <c r="G29" s="47">
        <f ca="1">'Emis-Rev5Pct'!H29</f>
        <v>2.2725169530355416E-3</v>
      </c>
      <c r="H29" s="91">
        <f ca="1">'Emis-Rev5Pct'!I29</f>
        <v>2.2725169530355416E-3</v>
      </c>
      <c r="I29" s="195">
        <f ca="1">'Emis-Rev5Pct'!J29</f>
        <v>2.2725169530355416E-3</v>
      </c>
      <c r="J29" s="111">
        <f ca="1">'Emis-Rev5Pct'!K29</f>
        <v>2.2725169530355416E-3</v>
      </c>
      <c r="K29" s="188">
        <f ca="1">'Emis-Rev5Pct'!L29</f>
        <v>2.2725169530355416E-3</v>
      </c>
      <c r="M29" s="8" t="s">
        <v>18</v>
      </c>
      <c r="N29" s="199">
        <f t="shared" ca="1" si="34"/>
        <v>2.2725169530355416E-3</v>
      </c>
      <c r="O29" s="199">
        <f t="shared" ca="1" si="36"/>
        <v>2.2725169530355416E-3</v>
      </c>
      <c r="P29" s="199">
        <f t="shared" ca="1" si="37"/>
        <v>2.2725169530355416E-3</v>
      </c>
      <c r="Q29" s="199">
        <f t="shared" ca="1" si="38"/>
        <v>2.2725169530355416E-3</v>
      </c>
      <c r="R29" s="199">
        <f t="shared" ca="1" si="35"/>
        <v>2.2725169530355416E-3</v>
      </c>
      <c r="S29" s="199">
        <f t="shared" ca="1" si="39"/>
        <v>2.2725169530355416E-3</v>
      </c>
      <c r="T29" s="199">
        <f t="shared" ca="1" si="40"/>
        <v>2.2725169530355416E-3</v>
      </c>
    </row>
    <row r="30" spans="1:29" ht="15.75" thickBot="1" x14ac:dyDescent="0.3">
      <c r="A30" s="43" t="s">
        <v>10</v>
      </c>
      <c r="B30" s="93">
        <f ca="1">SUM(B24:B29)</f>
        <v>15.707125886533547</v>
      </c>
      <c r="C30" s="44">
        <f t="shared" ref="C30:K30" ca="1" si="41">SUM(C24:C29)</f>
        <v>16.044448455931999</v>
      </c>
      <c r="D30" s="44">
        <f t="shared" ca="1" si="41"/>
        <v>16.180663539901424</v>
      </c>
      <c r="E30" s="92">
        <f t="shared" ca="1" si="41"/>
        <v>14.908926625438301</v>
      </c>
      <c r="F30" s="44">
        <f t="shared" ca="1" si="41"/>
        <v>14.549408354694783</v>
      </c>
      <c r="G30" s="44">
        <f t="shared" ca="1" si="41"/>
        <v>14.676111827730349</v>
      </c>
      <c r="H30" s="92">
        <f t="shared" ca="1" si="41"/>
        <v>14.766359547860596</v>
      </c>
      <c r="I30" s="196">
        <f t="shared" ca="1" si="41"/>
        <v>14.856761948939468</v>
      </c>
      <c r="J30" s="44">
        <f t="shared" ca="1" si="41"/>
        <v>14.948016637315725</v>
      </c>
      <c r="K30" s="189">
        <f t="shared" ca="1" si="41"/>
        <v>15.038965962907451</v>
      </c>
      <c r="M30" s="1" t="s">
        <v>10</v>
      </c>
      <c r="N30" s="3">
        <f t="shared" ca="1" si="34"/>
        <v>15.707125886533547</v>
      </c>
      <c r="O30" s="3">
        <f t="shared" ca="1" si="36"/>
        <v>14.908926625438301</v>
      </c>
      <c r="P30" s="3">
        <f t="shared" ca="1" si="37"/>
        <v>14.766359547860596</v>
      </c>
      <c r="Q30" s="3">
        <f t="shared" ca="1" si="38"/>
        <v>14.856761948939468</v>
      </c>
      <c r="R30" s="3">
        <f t="shared" ca="1" si="35"/>
        <v>15.038965962907451</v>
      </c>
      <c r="S30" s="3">
        <f t="shared" ca="1" si="39"/>
        <v>15.707125886533547</v>
      </c>
      <c r="T30" s="3">
        <f t="shared" ca="1" si="40"/>
        <v>14.856761948939468</v>
      </c>
    </row>
    <row r="31" spans="1:29" x14ac:dyDescent="0.25">
      <c r="M31" s="1" t="s">
        <v>139</v>
      </c>
      <c r="N31" s="3">
        <f ca="1">B33</f>
        <v>15.707125886533547</v>
      </c>
      <c r="O31" s="3">
        <f ca="1">E33</f>
        <v>15.342684198993226</v>
      </c>
      <c r="P31" s="3">
        <f t="shared" ref="P31:Q33" ca="1" si="42">H33</f>
        <v>14.978242511452905</v>
      </c>
      <c r="Q31" s="3">
        <f t="shared" ca="1" si="42"/>
        <v>14.856761948939464</v>
      </c>
      <c r="R31" s="3">
        <f ca="1">K33</f>
        <v>14.856761948939464</v>
      </c>
      <c r="S31" s="3">
        <f t="shared" ca="1" si="39"/>
        <v>15.707125886533547</v>
      </c>
      <c r="T31" s="3">
        <f ca="1">I33</f>
        <v>14.856761948939464</v>
      </c>
    </row>
    <row r="32" spans="1:29" x14ac:dyDescent="0.25">
      <c r="A32" s="70" t="s">
        <v>147</v>
      </c>
      <c r="B32" s="3">
        <f ca="1">-(I30-B30)/(I23-B23)</f>
        <v>0.12148056251343979</v>
      </c>
      <c r="C32" t="s">
        <v>261</v>
      </c>
      <c r="M32" s="1" t="s">
        <v>140</v>
      </c>
      <c r="N32" s="2"/>
      <c r="O32" s="3">
        <f ca="1">E34</f>
        <v>0.36444168754031936</v>
      </c>
      <c r="P32" s="3">
        <f t="shared" ca="1" si="42"/>
        <v>0.72888337508063872</v>
      </c>
      <c r="Q32" s="3">
        <f t="shared" ca="1" si="42"/>
        <v>0.85036393759407847</v>
      </c>
      <c r="R32" s="3">
        <f ca="1">K34</f>
        <v>0.85036393759407847</v>
      </c>
      <c r="S32" s="200"/>
      <c r="T32" s="6">
        <f ca="1">I34</f>
        <v>0.85036393759407847</v>
      </c>
    </row>
    <row r="33" spans="1:29" x14ac:dyDescent="0.25">
      <c r="A33" s="70" t="s">
        <v>154</v>
      </c>
      <c r="B33" s="3">
        <f ca="1">B30</f>
        <v>15.707125886533547</v>
      </c>
      <c r="C33" s="3">
        <f ca="1">B33-$B32</f>
        <v>15.585645324020106</v>
      </c>
      <c r="D33" s="3">
        <f t="shared" ref="D33:I33" ca="1" si="43">C33-$B32</f>
        <v>15.464164761506666</v>
      </c>
      <c r="E33" s="3">
        <f t="shared" ca="1" si="43"/>
        <v>15.342684198993226</v>
      </c>
      <c r="F33" s="3">
        <f t="shared" ca="1" si="43"/>
        <v>15.221203636479785</v>
      </c>
      <c r="G33" s="3">
        <f t="shared" ca="1" si="43"/>
        <v>15.099723073966345</v>
      </c>
      <c r="H33" s="3">
        <f t="shared" ca="1" si="43"/>
        <v>14.978242511452905</v>
      </c>
      <c r="I33" s="3">
        <f t="shared" ca="1" si="43"/>
        <v>14.856761948939464</v>
      </c>
      <c r="J33" s="3">
        <f ca="1">$I33</f>
        <v>14.856761948939464</v>
      </c>
      <c r="K33" s="3">
        <f ca="1">$I33</f>
        <v>14.856761948939464</v>
      </c>
      <c r="M33" s="1" t="s">
        <v>141</v>
      </c>
      <c r="N33" s="2"/>
      <c r="O33" s="3">
        <f ca="1">E35</f>
        <v>0.7981992610952453</v>
      </c>
      <c r="P33" s="3">
        <f t="shared" ca="1" si="42"/>
        <v>0.94076633867295101</v>
      </c>
      <c r="Q33" s="3">
        <f t="shared" ca="1" si="42"/>
        <v>0.85036393759407858</v>
      </c>
      <c r="R33" s="3">
        <f ca="1">K35</f>
        <v>0.66815992362609578</v>
      </c>
      <c r="S33" s="200"/>
      <c r="T33" s="3">
        <f ca="1">I35</f>
        <v>0.85036393759407858</v>
      </c>
    </row>
    <row r="34" spans="1:29" x14ac:dyDescent="0.25">
      <c r="A34" s="70" t="s">
        <v>100</v>
      </c>
      <c r="B34" s="71"/>
      <c r="C34" s="3">
        <f ca="1">$B32</f>
        <v>0.12148056251343979</v>
      </c>
      <c r="D34" s="3">
        <f ca="1">C34+$B32</f>
        <v>0.24296112502687958</v>
      </c>
      <c r="E34" s="6">
        <f t="shared" ref="E34" ca="1" si="44">D34+$B32</f>
        <v>0.36444168754031936</v>
      </c>
      <c r="F34" s="3">
        <f t="shared" ref="F34" ca="1" si="45">E34+$B32</f>
        <v>0.48592225005375916</v>
      </c>
      <c r="G34" s="3">
        <f t="shared" ref="G34" ca="1" si="46">F34+$B32</f>
        <v>0.60740281256719897</v>
      </c>
      <c r="H34" s="6">
        <f t="shared" ref="H34" ca="1" si="47">G34+$B32</f>
        <v>0.72888337508063872</v>
      </c>
      <c r="I34" s="197">
        <f t="shared" ref="I34" ca="1" si="48">H34+$B32</f>
        <v>0.85036393759407847</v>
      </c>
      <c r="J34" s="3">
        <f ca="1">$I34</f>
        <v>0.85036393759407847</v>
      </c>
      <c r="K34" s="6">
        <f ca="1">$I34</f>
        <v>0.85036393759407847</v>
      </c>
      <c r="M34" s="1" t="s">
        <v>142</v>
      </c>
      <c r="O34" s="70" t="str">
        <f ca="1">IF(ROUND(O33,2)&gt;=ROUND(O32,2),"Yes","No")</f>
        <v>Yes</v>
      </c>
      <c r="P34" s="70" t="str">
        <f t="shared" ref="P34:R34" ca="1" si="49">IF(ROUND(P33,2)&gt;=ROUND(P32,2),"Yes","No")</f>
        <v>Yes</v>
      </c>
      <c r="Q34" s="70" t="str">
        <f t="shared" ca="1" si="49"/>
        <v>Yes</v>
      </c>
      <c r="R34" s="70" t="str">
        <f t="shared" ca="1" si="49"/>
        <v>No</v>
      </c>
      <c r="S34" s="70"/>
      <c r="T34" s="70" t="str">
        <f ca="1">IF(ROUND(T33,2)&gt;=ROUND(T32,2),"Yes","No")</f>
        <v>Yes</v>
      </c>
    </row>
    <row r="35" spans="1:29" x14ac:dyDescent="0.25">
      <c r="A35" s="70" t="s">
        <v>148</v>
      </c>
      <c r="B35" s="71"/>
      <c r="C35" s="72">
        <f t="shared" ref="C35" ca="1" si="50">$B30-C30</f>
        <v>-0.33732256939845229</v>
      </c>
      <c r="D35" s="72">
        <f t="shared" ref="D35:K35" ca="1" si="51">$B30-D30</f>
        <v>-0.47353765336787745</v>
      </c>
      <c r="E35" s="183">
        <f t="shared" ca="1" si="51"/>
        <v>0.7981992610952453</v>
      </c>
      <c r="F35" s="72">
        <f t="shared" ca="1" si="51"/>
        <v>1.1577175318387631</v>
      </c>
      <c r="G35" s="72">
        <f t="shared" ca="1" si="51"/>
        <v>1.0310140588031977</v>
      </c>
      <c r="H35" s="183">
        <f t="shared" ca="1" si="51"/>
        <v>0.94076633867295101</v>
      </c>
      <c r="I35" s="198">
        <f t="shared" ca="1" si="51"/>
        <v>0.85036393759407858</v>
      </c>
      <c r="J35" s="72">
        <f t="shared" ca="1" si="51"/>
        <v>0.75910924921782197</v>
      </c>
      <c r="K35" s="183">
        <f t="shared" ca="1" si="51"/>
        <v>0.66815992362609578</v>
      </c>
    </row>
    <row r="36" spans="1:29" x14ac:dyDescent="0.25">
      <c r="A36" s="70" t="s">
        <v>101</v>
      </c>
      <c r="B36" s="71"/>
      <c r="C36" s="73">
        <f ca="1">C35-C34</f>
        <v>-0.45880313191189209</v>
      </c>
      <c r="D36" s="73">
        <f t="shared" ref="D36:K36" ca="1" si="52">D35-D34</f>
        <v>-0.71649877839475706</v>
      </c>
      <c r="E36" s="73">
        <f t="shared" ca="1" si="52"/>
        <v>0.43375757355492595</v>
      </c>
      <c r="F36" s="73">
        <f t="shared" ca="1" si="52"/>
        <v>0.67179528178500392</v>
      </c>
      <c r="G36" s="73">
        <f t="shared" ca="1" si="52"/>
        <v>0.42361124623599877</v>
      </c>
      <c r="H36" s="73">
        <f t="shared" ca="1" si="52"/>
        <v>0.21188296359231229</v>
      </c>
      <c r="I36" s="73">
        <f t="shared" ca="1" si="52"/>
        <v>0</v>
      </c>
      <c r="J36" s="73">
        <f t="shared" ca="1" si="52"/>
        <v>-9.1254688376256499E-2</v>
      </c>
      <c r="K36" s="73">
        <f t="shared" ca="1" si="52"/>
        <v>-0.18220401396798269</v>
      </c>
    </row>
    <row r="39" spans="1:29" ht="15.75" thickBot="1" x14ac:dyDescent="0.3">
      <c r="M39" s="258" t="s">
        <v>157</v>
      </c>
      <c r="N39" s="258"/>
      <c r="O39" s="258"/>
      <c r="P39" s="258"/>
      <c r="Q39" s="258"/>
      <c r="R39" s="258"/>
      <c r="S39" s="258"/>
      <c r="T39" s="258"/>
    </row>
    <row r="40" spans="1:29" x14ac:dyDescent="0.25">
      <c r="A40" s="39"/>
      <c r="B40" s="266" t="s">
        <v>145</v>
      </c>
      <c r="C40" s="263"/>
      <c r="D40" s="263"/>
      <c r="E40" s="263"/>
      <c r="F40" s="263"/>
      <c r="G40" s="263"/>
      <c r="H40" s="263"/>
      <c r="I40" s="264"/>
      <c r="J40" s="264"/>
      <c r="K40" s="265"/>
      <c r="N40" s="4" t="s">
        <v>137</v>
      </c>
      <c r="O40" s="4" t="s">
        <v>138</v>
      </c>
      <c r="P40" s="4" t="s">
        <v>138</v>
      </c>
      <c r="Q40" s="4" t="s">
        <v>159</v>
      </c>
      <c r="R40" s="4" t="s">
        <v>138</v>
      </c>
      <c r="S40" s="4" t="s">
        <v>137</v>
      </c>
      <c r="T40" s="4" t="s">
        <v>159</v>
      </c>
    </row>
    <row r="41" spans="1:29" ht="15.75" thickBot="1" x14ac:dyDescent="0.3">
      <c r="A41" s="40" t="s">
        <v>1</v>
      </c>
      <c r="B41" s="86">
        <v>2020</v>
      </c>
      <c r="C41" s="34">
        <v>2021</v>
      </c>
      <c r="D41" s="34">
        <v>2022</v>
      </c>
      <c r="E41" s="87">
        <v>2023</v>
      </c>
      <c r="F41" s="34">
        <v>2024</v>
      </c>
      <c r="G41" s="34">
        <v>2025</v>
      </c>
      <c r="H41" s="87">
        <v>2026</v>
      </c>
      <c r="I41" s="190">
        <v>2027</v>
      </c>
      <c r="J41" s="34">
        <v>2028</v>
      </c>
      <c r="K41" s="184">
        <v>2029</v>
      </c>
      <c r="M41" s="8" t="s">
        <v>1</v>
      </c>
      <c r="N41" s="7">
        <v>2020</v>
      </c>
      <c r="O41" s="7">
        <v>2023</v>
      </c>
      <c r="P41" s="7">
        <v>2026</v>
      </c>
      <c r="Q41" s="7">
        <v>2027</v>
      </c>
      <c r="R41" s="7">
        <v>2029</v>
      </c>
      <c r="S41" s="7">
        <v>2020</v>
      </c>
      <c r="T41" s="7">
        <v>2027</v>
      </c>
      <c r="V41" s="260" t="s">
        <v>144</v>
      </c>
      <c r="W41" s="260"/>
      <c r="X41" s="260"/>
      <c r="Y41" s="260"/>
      <c r="Z41" s="260"/>
      <c r="AA41" s="260"/>
      <c r="AB41" s="260"/>
      <c r="AC41" s="260"/>
    </row>
    <row r="42" spans="1:29" x14ac:dyDescent="0.25">
      <c r="A42" s="41" t="s">
        <v>7</v>
      </c>
      <c r="B42" s="83">
        <f ca="1">OFFSET(PointsNoBACT!$A$5,MATCH(B$41,PointsNoBACT!$A$6:$A$15,0),MATCH("NH3",PointsNoBACT!$B$5:$H$5,0))</f>
        <v>8.8391226532811992E-2</v>
      </c>
      <c r="C42" s="32">
        <f ca="1">OFFSET(PointsNoBACT!$A$5,MATCH(C$41,PointsNoBACT!$A$6:$A$15,0),MATCH("NH3",PointsNoBACT!$B$5:$H$5,0))</f>
        <v>9.0973092549760354E-2</v>
      </c>
      <c r="D42" s="32">
        <f ca="1">OFFSET(PointsNoBACT!$A$5,MATCH(D$41,PointsNoBACT!$A$6:$A$15,0),MATCH("NH3",PointsNoBACT!$B$5:$H$5,0))</f>
        <v>9.2106739085970793E-2</v>
      </c>
      <c r="E42" s="88">
        <f ca="1">OFFSET(PointsNoBACT!$A$5,MATCH(E$41,PointsNoBACT!$A$6:$A$15,0),MATCH("NH3",PointsNoBACT!$B$5:$H$5,0))</f>
        <v>9.2729287976552263E-2</v>
      </c>
      <c r="F42" s="32">
        <f ca="1">OFFSET(PointsNoBACT!$A$5,MATCH(F$41,PointsNoBACT!$A$6:$A$15,0),MATCH("NH3",PointsNoBACT!$B$5:$H$5,0))</f>
        <v>9.3373996092480899E-2</v>
      </c>
      <c r="G42" s="32">
        <f ca="1">OFFSET(PointsNoBACT!$A$5,MATCH(G$41,PointsNoBACT!$A$6:$A$15,0),MATCH("NH3",PointsNoBACT!$B$5:$H$5,0))</f>
        <v>9.4034215666153539E-2</v>
      </c>
      <c r="H42" s="88">
        <f ca="1">OFFSET(PointsNoBACT!$A$5,MATCH(H$41,PointsNoBACT!$A$6:$A$15,0),MATCH("NH3",PointsNoBACT!$B$5:$H$5,0))</f>
        <v>9.4668399229843964E-2</v>
      </c>
      <c r="I42" s="191">
        <f ca="1">OFFSET(PointsNoBACT!$A$5,MATCH(I$41,PointsNoBACT!$A$6:$A$15,0),MATCH("NH3",PointsNoBACT!$B$5:$H$5,0))</f>
        <v>9.5302582793534513E-2</v>
      </c>
      <c r="J42" s="110">
        <f ca="1">OFFSET(PointsNoBACT!$A$5,MATCH(J$41,PointsNoBACT!$A$6:$A$15,0),MATCH("NH3",PointsNoBACT!$B$5:$H$5,0))</f>
        <v>9.5936766357225103E-2</v>
      </c>
      <c r="K42" s="185">
        <f ca="1">OFFSET(PointsNoBACT!$A$5,MATCH(K$41,PointsNoBACT!$A$6:$A$15,0),MATCH("NH3",PointsNoBACT!$B$5:$H$5,0))</f>
        <v>9.65709499209155E-2</v>
      </c>
      <c r="M42" t="s">
        <v>7</v>
      </c>
      <c r="N42" s="2">
        <f t="shared" ref="N42:N48" ca="1" si="53">B42</f>
        <v>8.8391226532811992E-2</v>
      </c>
      <c r="O42" s="2">
        <f ca="1">E42</f>
        <v>9.2729287976552263E-2</v>
      </c>
      <c r="P42" s="2">
        <f ca="1">H42</f>
        <v>9.4668399229843964E-2</v>
      </c>
      <c r="Q42" s="2">
        <f ca="1">I42</f>
        <v>9.5302582793534513E-2</v>
      </c>
      <c r="R42" s="2">
        <f t="shared" ref="R42:R48" ca="1" si="54">K42</f>
        <v>9.65709499209155E-2</v>
      </c>
      <c r="S42" s="2">
        <f ca="1">N42</f>
        <v>8.8391226532811992E-2</v>
      </c>
      <c r="T42" s="2">
        <f ca="1">I42</f>
        <v>9.5302582793534513E-2</v>
      </c>
    </row>
    <row r="43" spans="1:29" x14ac:dyDescent="0.25">
      <c r="A43" s="42" t="s">
        <v>16</v>
      </c>
      <c r="B43" s="84" cm="1">
        <f t="array" aca="1" ref="B43" ca="1">INDIRECT("TabSpHt"&amp;B$41&amp;"!J69")</f>
        <v>0.1089</v>
      </c>
      <c r="C43" s="30" cm="1">
        <f t="array" aca="1" ref="C43" ca="1">INDIRECT("TabSpHt"&amp;C$41&amp;"!J69")</f>
        <v>0.1081</v>
      </c>
      <c r="D43" s="30" cm="1">
        <f t="array" aca="1" ref="D43" ca="1">INDIRECT("TabSpHt"&amp;D$41&amp;"!J69")</f>
        <v>0.1137</v>
      </c>
      <c r="E43" s="89" cm="1">
        <f t="array" aca="1" ref="E43" ca="1">INDIRECT("TabSpHt"&amp;E$41&amp;"!J69")</f>
        <v>0.12139999999999999</v>
      </c>
      <c r="F43" s="30" cm="1">
        <f t="array" aca="1" ref="F43" ca="1">INDIRECT("TabSpHt"&amp;F$41&amp;"!J69")</f>
        <v>0.1236</v>
      </c>
      <c r="G43" s="30" cm="1">
        <f t="array" aca="1" ref="G43" ca="1">INDIRECT("TabSpHt"&amp;G$41&amp;"!J69")</f>
        <v>0.12429999999999999</v>
      </c>
      <c r="H43" s="89" cm="1">
        <f t="array" aca="1" ref="H43" ca="1">INDIRECT("TabSpHt"&amp;H$41&amp;"!J69")</f>
        <v>0.12379999999999999</v>
      </c>
      <c r="I43" s="192" cm="1">
        <f t="array" aca="1" ref="I43" ca="1">INDIRECT("TabSpHt"&amp;I$41&amp;"!J69")</f>
        <v>0.1235</v>
      </c>
      <c r="J43" s="30" cm="1">
        <f t="array" aca="1" ref="J43" ca="1">INDIRECT("TabSpHt"&amp;J$41&amp;"!J69")</f>
        <v>0.124</v>
      </c>
      <c r="K43" s="186" cm="1">
        <f t="array" aca="1" ref="K43" ca="1">INDIRECT("TabSpHt"&amp;K$41&amp;"!J69")</f>
        <v>0.1246</v>
      </c>
      <c r="M43" t="s">
        <v>16</v>
      </c>
      <c r="N43" s="2">
        <f t="shared" ca="1" si="53"/>
        <v>0.1089</v>
      </c>
      <c r="O43" s="2">
        <f t="shared" ref="O43:O48" ca="1" si="55">E43</f>
        <v>0.12139999999999999</v>
      </c>
      <c r="P43" s="2">
        <f t="shared" ref="P43:P48" ca="1" si="56">H43</f>
        <v>0.12379999999999999</v>
      </c>
      <c r="Q43" s="2">
        <f t="shared" ref="Q43:Q48" ca="1" si="57">I43</f>
        <v>0.1235</v>
      </c>
      <c r="R43" s="2">
        <f t="shared" ca="1" si="54"/>
        <v>0.1246</v>
      </c>
      <c r="S43" s="2">
        <f t="shared" ref="S43:S49" ca="1" si="58">N43</f>
        <v>0.1089</v>
      </c>
      <c r="T43" s="2">
        <f t="shared" ref="T43:T48" ca="1" si="59">I43</f>
        <v>0.1235</v>
      </c>
    </row>
    <row r="44" spans="1:29" x14ac:dyDescent="0.25">
      <c r="A44" s="42" t="s">
        <v>17</v>
      </c>
      <c r="B44" s="84" cm="1">
        <f t="array" aca="1" ref="B44" ca="1">INDIRECT("'"&amp;B$41&amp;"NRARSummary'!F5")</f>
        <v>4.6772548933228297E-2</v>
      </c>
      <c r="C44" s="38" cm="1">
        <f t="array" aca="1" ref="C44" ca="1">INDIRECT("'"&amp;C$41&amp;"NRARSummary'!F5")</f>
        <v>4.7392184930090189E-2</v>
      </c>
      <c r="D44" s="38" cm="1">
        <f t="array" aca="1" ref="D44" ca="1">INDIRECT("'"&amp;D$41&amp;"NRARSummary'!F5")</f>
        <v>4.8179260463254825E-2</v>
      </c>
      <c r="E44" s="90" cm="1">
        <f t="array" aca="1" ref="E44" ca="1">INDIRECT("'"&amp;E$41&amp;"NRARSummary'!F5")</f>
        <v>4.8887524367656941E-2</v>
      </c>
      <c r="F44" s="38" cm="1">
        <f t="array" aca="1" ref="F44" ca="1">INDIRECT("'"&amp;F$41&amp;"NRARSummary'!F5")</f>
        <v>4.9575343487790101E-2</v>
      </c>
      <c r="G44" s="38" cm="1">
        <f t="array" aca="1" ref="G44" ca="1">INDIRECT("'"&amp;G$41&amp;"NRARSummary'!F5")</f>
        <v>5.0244615472911383E-2</v>
      </c>
      <c r="H44" s="89" cm="1">
        <f t="array" aca="1" ref="H44" ca="1">INDIRECT("'"&amp;H$41&amp;"NRARSummary'!F5")</f>
        <v>5.0848470242789323E-2</v>
      </c>
      <c r="I44" s="193" cm="1">
        <f t="array" aca="1" ref="I44" ca="1">INDIRECT("'"&amp;I$41&amp;"NRARSummary'!F5")</f>
        <v>5.1452325012667263E-2</v>
      </c>
      <c r="J44" s="30" cm="1">
        <f t="array" aca="1" ref="J44" ca="1">INDIRECT("'"&amp;J$41&amp;"NRARSummary'!F5")</f>
        <v>5.205617978254521E-2</v>
      </c>
      <c r="K44" s="186" cm="1">
        <f t="array" aca="1" ref="K44" ca="1">INDIRECT("'"&amp;K$41&amp;"NRARSummary'!F5")</f>
        <v>5.2660034552423157E-2</v>
      </c>
      <c r="M44" t="s">
        <v>17</v>
      </c>
      <c r="N44" s="2">
        <f t="shared" ca="1" si="53"/>
        <v>4.6772548933228297E-2</v>
      </c>
      <c r="O44" s="2">
        <f t="shared" ca="1" si="55"/>
        <v>4.8887524367656941E-2</v>
      </c>
      <c r="P44" s="2">
        <f t="shared" ca="1" si="56"/>
        <v>5.0848470242789323E-2</v>
      </c>
      <c r="Q44" s="2">
        <f t="shared" ca="1" si="57"/>
        <v>5.1452325012667263E-2</v>
      </c>
      <c r="R44" s="2">
        <f t="shared" ca="1" si="54"/>
        <v>5.2660034552423157E-2</v>
      </c>
      <c r="S44" s="2">
        <f t="shared" ca="1" si="58"/>
        <v>4.6772548933228297E-2</v>
      </c>
      <c r="T44" s="2">
        <f t="shared" ca="1" si="59"/>
        <v>5.1452325012667263E-2</v>
      </c>
    </row>
    <row r="45" spans="1:29" x14ac:dyDescent="0.25">
      <c r="A45" s="42" t="s">
        <v>19</v>
      </c>
      <c r="B45" s="84">
        <f ca="1">OFFSET(OnRoad!$I$6,MATCH(B$41,OnRoad!$A$7:$A$16,0),0)</f>
        <v>3.9756334910650407E-2</v>
      </c>
      <c r="C45" s="38">
        <f ca="1">OFFSET(OnRoad!$I$6,MATCH(C$41,OnRoad!$A$7:$A$16,0),0)</f>
        <v>4.0673160371843625E-2</v>
      </c>
      <c r="D45" s="38">
        <f ca="1">OFFSET(OnRoad!$I$6,MATCH(D$41,OnRoad!$A$7:$A$16,0),0)</f>
        <v>4.1738206109658969E-2</v>
      </c>
      <c r="E45" s="90">
        <f ca="1">OFFSET(OnRoad!$I$6,MATCH(E$41,OnRoad!$A$7:$A$16,0),0)</f>
        <v>4.0965641784397572E-2</v>
      </c>
      <c r="F45" s="38">
        <f ca="1">OFFSET(OnRoad!$I$6,MATCH(F$41,OnRoad!$A$7:$A$16,0),0)</f>
        <v>4.0362905818191928E-2</v>
      </c>
      <c r="G45" s="38">
        <f ca="1">OFFSET(OnRoad!$I$6,MATCH(G$41,OnRoad!$A$7:$A$16,0),0)</f>
        <v>3.9768697234401268E-2</v>
      </c>
      <c r="H45" s="90">
        <f ca="1">OFFSET(OnRoad!$I$6,MATCH(H$41,OnRoad!$A$7:$A$16,0),0)</f>
        <v>3.832236434362768E-2</v>
      </c>
      <c r="I45" s="193">
        <f ca="1">OFFSET(OnRoad!$I$6,MATCH(I$41,OnRoad!$A$7:$A$16,0),0)</f>
        <v>3.804129679267361E-2</v>
      </c>
      <c r="J45" s="30">
        <f ca="1">OFFSET(OnRoad!$I$6,MATCH(J$41,OnRoad!$A$7:$A$16,0),0)</f>
        <v>3.7971611391623021E-2</v>
      </c>
      <c r="K45" s="186">
        <f ca="1">OFFSET(OnRoad!$I$6,MATCH(K$41,OnRoad!$A$7:$A$16,0),0)</f>
        <v>3.8196619282224148E-2</v>
      </c>
      <c r="M45" t="s">
        <v>19</v>
      </c>
      <c r="N45" s="2">
        <f t="shared" ca="1" si="53"/>
        <v>3.9756334910650407E-2</v>
      </c>
      <c r="O45" s="2">
        <f t="shared" ca="1" si="55"/>
        <v>4.0965641784397572E-2</v>
      </c>
      <c r="P45" s="2">
        <f t="shared" ca="1" si="56"/>
        <v>3.832236434362768E-2</v>
      </c>
      <c r="Q45" s="2">
        <f t="shared" ca="1" si="57"/>
        <v>3.804129679267361E-2</v>
      </c>
      <c r="R45" s="2">
        <f t="shared" ca="1" si="54"/>
        <v>3.8196619282224148E-2</v>
      </c>
      <c r="S45" s="2">
        <f t="shared" ca="1" si="58"/>
        <v>3.9756334910650407E-2</v>
      </c>
      <c r="T45" s="2">
        <f t="shared" ca="1" si="59"/>
        <v>3.804129679267361E-2</v>
      </c>
    </row>
    <row r="46" spans="1:29" x14ac:dyDescent="0.25">
      <c r="A46" s="42" t="s">
        <v>173</v>
      </c>
      <c r="B46" s="112" cm="1">
        <f t="array" aca="1" ref="B46" ca="1">INDIRECT("'"&amp;B$41&amp;"NRARSummary'!f8")</f>
        <v>0</v>
      </c>
      <c r="C46" s="103" cm="1">
        <f t="array" aca="1" ref="C46" ca="1">INDIRECT("'"&amp;C$41&amp;"NRARSummary'!f8")</f>
        <v>0</v>
      </c>
      <c r="D46" s="103" cm="1">
        <f t="array" aca="1" ref="D46" ca="1">INDIRECT("'"&amp;D$41&amp;"NRARSummary'!f8")</f>
        <v>0</v>
      </c>
      <c r="E46" s="113" cm="1">
        <f t="array" aca="1" ref="E46" ca="1">INDIRECT("'"&amp;E$41&amp;"NRARSummary'!f8")</f>
        <v>0</v>
      </c>
      <c r="F46" s="103" cm="1">
        <f t="array" aca="1" ref="F46" ca="1">INDIRECT("'"&amp;F$41&amp;"NRARSummary'!f8")</f>
        <v>0</v>
      </c>
      <c r="G46" s="103" cm="1">
        <f t="array" aca="1" ref="G46" ca="1">INDIRECT("'"&amp;G$41&amp;"NRARSummary'!f8")</f>
        <v>0</v>
      </c>
      <c r="H46" s="113" cm="1">
        <f t="array" aca="1" ref="H46" ca="1">INDIRECT("'"&amp;H$41&amp;"NRARSummary'!f8")</f>
        <v>0</v>
      </c>
      <c r="I46" s="194" cm="1">
        <f t="array" aca="1" ref="I46" ca="1">INDIRECT("'"&amp;I$41&amp;"NRARSummary'!f8")</f>
        <v>0</v>
      </c>
      <c r="J46" s="30" cm="1">
        <f t="array" aca="1" ref="J46" ca="1">INDIRECT("'"&amp;J$41&amp;"NRARSummary'!f8")</f>
        <v>0</v>
      </c>
      <c r="K46" s="187" cm="1">
        <f t="array" aca="1" ref="K46" ca="1">INDIRECT("'"&amp;K$41&amp;"NRARSummary'!f8")</f>
        <v>0</v>
      </c>
      <c r="M46" t="s">
        <v>173</v>
      </c>
      <c r="N46" s="2">
        <f t="shared" ca="1" si="53"/>
        <v>0</v>
      </c>
      <c r="O46" s="2">
        <f t="shared" ca="1" si="55"/>
        <v>0</v>
      </c>
      <c r="P46" s="2">
        <f t="shared" ca="1" si="56"/>
        <v>0</v>
      </c>
      <c r="Q46" s="2">
        <f t="shared" ca="1" si="57"/>
        <v>0</v>
      </c>
      <c r="R46" s="2">
        <f t="shared" ca="1" si="54"/>
        <v>0</v>
      </c>
      <c r="S46" s="2">
        <f t="shared" ca="1" si="58"/>
        <v>0</v>
      </c>
      <c r="T46" s="2">
        <f t="shared" ca="1" si="59"/>
        <v>0</v>
      </c>
    </row>
    <row r="47" spans="1:29" ht="15.75" thickBot="1" x14ac:dyDescent="0.3">
      <c r="A47" s="46" t="s">
        <v>174</v>
      </c>
      <c r="B47" s="85" cm="1">
        <f t="array" aca="1" ref="B47" ca="1">INDIRECT("'"&amp;B$41&amp;"NRARSummary'!F9")-INDIRECT("'"&amp;B$41&amp;"NRARSummary'!F8")</f>
        <v>1.483324700422227E-3</v>
      </c>
      <c r="C47" s="47" cm="1">
        <f t="array" aca="1" ref="C47" ca="1">INDIRECT("'"&amp;C$41&amp;"NRARSummary'!F9")-INDIRECT("'"&amp;C$41&amp;"NRARSummary'!F8")</f>
        <v>1.508712125614409E-3</v>
      </c>
      <c r="D47" s="47" cm="1">
        <f t="array" aca="1" ref="D47" ca="1">INDIRECT("'"&amp;D$41&amp;"NRARSummary'!F9")-INDIRECT("'"&amp;D$41&amp;"NRARSummary'!F8")</f>
        <v>1.5260546290351031E-3</v>
      </c>
      <c r="E47" s="91" cm="1">
        <f t="array" aca="1" ref="E47" ca="1">INDIRECT("'"&amp;E$41&amp;"NRARSummary'!F9")-INDIRECT("'"&amp;E$41&amp;"NRARSummary'!F8")</f>
        <v>1.5370029481088954E-3</v>
      </c>
      <c r="F47" s="47" cm="1">
        <f t="array" aca="1" ref="F47" ca="1">INDIRECT("'"&amp;F$41&amp;"NRARSummary'!F9")-INDIRECT("'"&amp;F$41&amp;"NRARSummary'!F8")</f>
        <v>1.5286850266754044E-3</v>
      </c>
      <c r="G47" s="47" cm="1">
        <f t="array" aca="1" ref="G47" ca="1">INDIRECT("'"&amp;G$41&amp;"NRARSummary'!F9")-INDIRECT("'"&amp;G$41&amp;"NRARSummary'!F8")</f>
        <v>1.4982293335695761E-3</v>
      </c>
      <c r="H47" s="91" cm="1">
        <f t="array" aca="1" ref="H47" ca="1">INDIRECT("'"&amp;H$41&amp;"NRARSummary'!F9")-INDIRECT("'"&amp;H$41&amp;"NRARSummary'!F8")</f>
        <v>1.513486454965307E-3</v>
      </c>
      <c r="I47" s="195" cm="1">
        <f t="array" aca="1" ref="I47" ca="1">INDIRECT("'"&amp;I$41&amp;"NRARSummary'!F9")-INDIRECT("'"&amp;I$41&amp;"NRARSummary'!F8")</f>
        <v>1.5319599897318239E-3</v>
      </c>
      <c r="J47" s="111" cm="1">
        <f t="array" aca="1" ref="J47" ca="1">INDIRECT("'"&amp;J$41&amp;"NRARSummary'!F9")-INDIRECT("'"&amp;J$41&amp;"NRARSummary'!F8")</f>
        <v>1.5764976373283317E-3</v>
      </c>
      <c r="K47" s="188" cm="1">
        <f t="array" aca="1" ref="K47" ca="1">INDIRECT("'"&amp;K$41&amp;"NRARSummary'!F9")-INDIRECT("'"&amp;K$41&amp;"NRARSummary'!F8")</f>
        <v>1.5463803563099772E-3</v>
      </c>
      <c r="M47" s="8" t="s">
        <v>18</v>
      </c>
      <c r="N47" s="199">
        <f t="shared" ca="1" si="53"/>
        <v>1.483324700422227E-3</v>
      </c>
      <c r="O47" s="199">
        <f t="shared" ca="1" si="55"/>
        <v>1.5370029481088954E-3</v>
      </c>
      <c r="P47" s="199">
        <f t="shared" ca="1" si="56"/>
        <v>1.513486454965307E-3</v>
      </c>
      <c r="Q47" s="199">
        <f t="shared" ca="1" si="57"/>
        <v>1.5319599897318239E-3</v>
      </c>
      <c r="R47" s="199">
        <f t="shared" ca="1" si="54"/>
        <v>1.5463803563099772E-3</v>
      </c>
      <c r="S47" s="199">
        <f t="shared" ca="1" si="58"/>
        <v>1.483324700422227E-3</v>
      </c>
      <c r="T47" s="199">
        <f t="shared" ca="1" si="59"/>
        <v>1.5319599897318239E-3</v>
      </c>
    </row>
    <row r="48" spans="1:29" ht="15.75" thickBot="1" x14ac:dyDescent="0.3">
      <c r="A48" s="43" t="s">
        <v>10</v>
      </c>
      <c r="B48" s="93">
        <f ca="1">SUM(B42:B47)</f>
        <v>0.28530343507711292</v>
      </c>
      <c r="C48" s="44">
        <f t="shared" ref="C48:K48" ca="1" si="60">SUM(C42:C47)</f>
        <v>0.28864714997730856</v>
      </c>
      <c r="D48" s="44">
        <f t="shared" ca="1" si="60"/>
        <v>0.29725026028791968</v>
      </c>
      <c r="E48" s="92">
        <f t="shared" ca="1" si="60"/>
        <v>0.30551945707671568</v>
      </c>
      <c r="F48" s="44">
        <f t="shared" ca="1" si="60"/>
        <v>0.30844093042513832</v>
      </c>
      <c r="G48" s="44">
        <f t="shared" ca="1" si="60"/>
        <v>0.30984575770703571</v>
      </c>
      <c r="H48" s="92">
        <f t="shared" ca="1" si="60"/>
        <v>0.30915272027122626</v>
      </c>
      <c r="I48" s="196">
        <f t="shared" ca="1" si="60"/>
        <v>0.30982816458860718</v>
      </c>
      <c r="J48" s="44">
        <f t="shared" ca="1" si="60"/>
        <v>0.31154105516872166</v>
      </c>
      <c r="K48" s="189">
        <f t="shared" ca="1" si="60"/>
        <v>0.31357398411187282</v>
      </c>
      <c r="M48" s="1" t="s">
        <v>10</v>
      </c>
      <c r="N48" s="3">
        <f t="shared" ca="1" si="53"/>
        <v>0.28530343507711292</v>
      </c>
      <c r="O48" s="3">
        <f t="shared" ca="1" si="55"/>
        <v>0.30551945707671568</v>
      </c>
      <c r="P48" s="3">
        <f t="shared" ca="1" si="56"/>
        <v>0.30915272027122626</v>
      </c>
      <c r="Q48" s="3">
        <f t="shared" ca="1" si="57"/>
        <v>0.30982816458860718</v>
      </c>
      <c r="R48" s="3">
        <f t="shared" ca="1" si="54"/>
        <v>0.31357398411187282</v>
      </c>
      <c r="S48" s="3">
        <f t="shared" ca="1" si="58"/>
        <v>0.28530343507711292</v>
      </c>
      <c r="T48" s="3">
        <f t="shared" ca="1" si="59"/>
        <v>0.30982816458860718</v>
      </c>
    </row>
    <row r="49" spans="1:20" x14ac:dyDescent="0.25">
      <c r="M49" s="1" t="s">
        <v>139</v>
      </c>
      <c r="N49" s="3">
        <f ca="1">B51</f>
        <v>0.28530343507711292</v>
      </c>
      <c r="O49" s="3">
        <f ca="1">E51</f>
        <v>0.29581403343918189</v>
      </c>
      <c r="P49" s="3">
        <f t="shared" ref="P49:Q51" ca="1" si="61">H51</f>
        <v>0.30632463180125086</v>
      </c>
      <c r="Q49" s="3">
        <f t="shared" ca="1" si="61"/>
        <v>0.30982816458860718</v>
      </c>
      <c r="R49" s="3">
        <f ca="1">K51</f>
        <v>0.30982816458860718</v>
      </c>
      <c r="S49" s="3">
        <f t="shared" ca="1" si="58"/>
        <v>0.28530343507711292</v>
      </c>
      <c r="T49" s="3">
        <f ca="1">I51</f>
        <v>0.30982816458860718</v>
      </c>
    </row>
    <row r="50" spans="1:20" x14ac:dyDescent="0.25">
      <c r="A50" s="70" t="s">
        <v>149</v>
      </c>
      <c r="B50" s="3">
        <f ca="1">-(I48-B48)/(I41-B41)</f>
        <v>-3.5035327873563227E-3</v>
      </c>
      <c r="C50" t="s">
        <v>261</v>
      </c>
      <c r="M50" s="1" t="s">
        <v>140</v>
      </c>
      <c r="N50" s="2"/>
      <c r="O50" s="3">
        <f ca="1">E52</f>
        <v>-1.0510598362068968E-2</v>
      </c>
      <c r="P50" s="3">
        <f t="shared" ca="1" si="61"/>
        <v>-2.1021196724137936E-2</v>
      </c>
      <c r="Q50" s="3">
        <f t="shared" ca="1" si="61"/>
        <v>-2.4524729511494259E-2</v>
      </c>
      <c r="R50" s="3">
        <f ca="1">K52</f>
        <v>-2.4524729511494259E-2</v>
      </c>
      <c r="S50" s="200"/>
      <c r="T50" s="6">
        <f ca="1">I52</f>
        <v>-2.4524729511494259E-2</v>
      </c>
    </row>
    <row r="51" spans="1:20" x14ac:dyDescent="0.25">
      <c r="A51" s="70" t="s">
        <v>155</v>
      </c>
      <c r="B51" s="3">
        <f ca="1">B48</f>
        <v>0.28530343507711292</v>
      </c>
      <c r="C51" s="3">
        <f ca="1">B51-$B50</f>
        <v>0.28880696786446924</v>
      </c>
      <c r="D51" s="3">
        <f t="shared" ref="D51" ca="1" si="62">C51-$B50</f>
        <v>0.29231050065182557</v>
      </c>
      <c r="E51" s="3">
        <f t="shared" ref="E51" ca="1" si="63">D51-$B50</f>
        <v>0.29581403343918189</v>
      </c>
      <c r="F51" s="3">
        <f t="shared" ref="F51" ca="1" si="64">E51-$B50</f>
        <v>0.29931756622653821</v>
      </c>
      <c r="G51" s="3">
        <f t="shared" ref="G51" ca="1" si="65">F51-$B50</f>
        <v>0.30282109901389453</v>
      </c>
      <c r="H51" s="3">
        <f t="shared" ref="H51" ca="1" si="66">G51-$B50</f>
        <v>0.30632463180125086</v>
      </c>
      <c r="I51" s="3">
        <f t="shared" ref="I51" ca="1" si="67">H51-$B50</f>
        <v>0.30982816458860718</v>
      </c>
      <c r="J51" s="3">
        <f ca="1">$I51</f>
        <v>0.30982816458860718</v>
      </c>
      <c r="K51" s="3">
        <f ca="1">$I51</f>
        <v>0.30982816458860718</v>
      </c>
      <c r="M51" s="1" t="s">
        <v>141</v>
      </c>
      <c r="N51" s="2"/>
      <c r="O51" s="3">
        <f ca="1">E53</f>
        <v>-2.0216021999602762E-2</v>
      </c>
      <c r="P51" s="3">
        <f t="shared" ca="1" si="61"/>
        <v>-2.3849285194113334E-2</v>
      </c>
      <c r="Q51" s="3">
        <f t="shared" ca="1" si="61"/>
        <v>-2.4524729511494259E-2</v>
      </c>
      <c r="R51" s="3">
        <f ca="1">K53</f>
        <v>-2.8270549034759895E-2</v>
      </c>
      <c r="S51" s="200"/>
      <c r="T51" s="3">
        <f ca="1">I53</f>
        <v>-2.4524729511494259E-2</v>
      </c>
    </row>
    <row r="52" spans="1:20" x14ac:dyDescent="0.25">
      <c r="A52" s="70" t="s">
        <v>150</v>
      </c>
      <c r="B52" s="71"/>
      <c r="C52" s="3">
        <f ca="1">$B50</f>
        <v>-3.5035327873563227E-3</v>
      </c>
      <c r="D52" s="3">
        <f ca="1">C52+$B50</f>
        <v>-7.0070655747126454E-3</v>
      </c>
      <c r="E52" s="6">
        <f t="shared" ref="E52" ca="1" si="68">D52+$B50</f>
        <v>-1.0510598362068968E-2</v>
      </c>
      <c r="F52" s="3">
        <f t="shared" ref="F52" ca="1" si="69">E52+$B50</f>
        <v>-1.4014131149425291E-2</v>
      </c>
      <c r="G52" s="3">
        <f t="shared" ref="G52" ca="1" si="70">F52+$B50</f>
        <v>-1.7517663936781613E-2</v>
      </c>
      <c r="H52" s="6">
        <f t="shared" ref="H52" ca="1" si="71">G52+$B50</f>
        <v>-2.1021196724137936E-2</v>
      </c>
      <c r="I52" s="197">
        <f t="shared" ref="I52" ca="1" si="72">H52+$B50</f>
        <v>-2.4524729511494259E-2</v>
      </c>
      <c r="J52" s="3">
        <f ca="1">$I52</f>
        <v>-2.4524729511494259E-2</v>
      </c>
      <c r="K52" s="6">
        <f ca="1">$I52</f>
        <v>-2.4524729511494259E-2</v>
      </c>
      <c r="M52" s="1" t="s">
        <v>142</v>
      </c>
      <c r="O52" s="70" t="str">
        <f ca="1">IF(ROUND(O51,2)&gt;=ROUND(O50,2),"Yes","No")</f>
        <v>No</v>
      </c>
      <c r="P52" s="70" t="str">
        <f t="shared" ref="P52:R52" ca="1" si="73">IF(ROUND(P51,2)&gt;=ROUND(P50,2),"Yes","No")</f>
        <v>Yes</v>
      </c>
      <c r="Q52" s="70" t="str">
        <f t="shared" ca="1" si="73"/>
        <v>Yes</v>
      </c>
      <c r="R52" s="70" t="str">
        <f t="shared" ca="1" si="73"/>
        <v>No</v>
      </c>
      <c r="S52" s="70"/>
      <c r="T52" s="70" t="str">
        <f ca="1">IF(ROUND(T51,2)&gt;=ROUND(T50,2),"Yes","No")</f>
        <v>Yes</v>
      </c>
    </row>
    <row r="53" spans="1:20" x14ac:dyDescent="0.25">
      <c r="A53" s="70" t="s">
        <v>151</v>
      </c>
      <c r="B53" s="71"/>
      <c r="C53" s="72">
        <f ca="1">$B48-C48</f>
        <v>-3.3437149001956379E-3</v>
      </c>
      <c r="D53" s="72">
        <f t="shared" ref="D53:H53" ca="1" si="74">$B48-D48</f>
        <v>-1.1946825210806755E-2</v>
      </c>
      <c r="E53" s="183">
        <f t="shared" ca="1" si="74"/>
        <v>-2.0216021999602762E-2</v>
      </c>
      <c r="F53" s="72">
        <f t="shared" ca="1" si="74"/>
        <v>-2.3137495348025394E-2</v>
      </c>
      <c r="G53" s="72">
        <f t="shared" ca="1" si="74"/>
        <v>-2.4542322629922786E-2</v>
      </c>
      <c r="H53" s="183">
        <f t="shared" ca="1" si="74"/>
        <v>-2.3849285194113334E-2</v>
      </c>
      <c r="I53" s="198">
        <f t="shared" ref="I53:K53" ca="1" si="75">$B48-I48</f>
        <v>-2.4524729511494259E-2</v>
      </c>
      <c r="J53" s="72">
        <f t="shared" ca="1" si="75"/>
        <v>-2.6237620091608738E-2</v>
      </c>
      <c r="K53" s="183">
        <f t="shared" ca="1" si="75"/>
        <v>-2.8270549034759895E-2</v>
      </c>
      <c r="O53" s="2"/>
    </row>
    <row r="54" spans="1:20" x14ac:dyDescent="0.25">
      <c r="A54" s="70" t="s">
        <v>152</v>
      </c>
      <c r="B54" s="71"/>
      <c r="C54" s="73">
        <f ca="1">C53-C52</f>
        <v>1.5981788716068479E-4</v>
      </c>
      <c r="D54" s="73">
        <f t="shared" ref="D54:H54" ca="1" si="76">D53-D52</f>
        <v>-4.9397596360941098E-3</v>
      </c>
      <c r="E54" s="73">
        <f t="shared" ca="1" si="76"/>
        <v>-9.7054236375337943E-3</v>
      </c>
      <c r="F54" s="73">
        <f t="shared" ca="1" si="76"/>
        <v>-9.1233641986001035E-3</v>
      </c>
      <c r="G54" s="73">
        <f t="shared" ca="1" si="76"/>
        <v>-7.0246586931411725E-3</v>
      </c>
      <c r="H54" s="73">
        <f t="shared" ca="1" si="76"/>
        <v>-2.8280884699753983E-3</v>
      </c>
      <c r="I54" s="73">
        <f t="shared" ref="I54:K54" ca="1" si="77">I53-I52</f>
        <v>0</v>
      </c>
      <c r="J54" s="73">
        <f t="shared" ca="1" si="77"/>
        <v>-1.7128905801144789E-3</v>
      </c>
      <c r="K54" s="73">
        <f t="shared" ca="1" si="77"/>
        <v>-3.7458195232656366E-3</v>
      </c>
    </row>
  </sheetData>
  <sheetProtection algorithmName="SHA-512" hashValue="Vc6GbBCkOn30a9qApse/mV0g53DphrrKzL89Kg8cedpM7PHJYoF/REYkDr0FOma9CER9nXlhmdARTyTSJswuAw==" saltValue="TacLobh9ju7BEXLX7z0sgg==" spinCount="100000" sheet="1" objects="1" scenarios="1"/>
  <mergeCells count="12">
    <mergeCell ref="A1:K1"/>
    <mergeCell ref="A2:K2"/>
    <mergeCell ref="B4:K4"/>
    <mergeCell ref="B22:K22"/>
    <mergeCell ref="B40:K40"/>
    <mergeCell ref="M1:T1"/>
    <mergeCell ref="V3:AC3"/>
    <mergeCell ref="V22:AC22"/>
    <mergeCell ref="V41:AC41"/>
    <mergeCell ref="M21:T21"/>
    <mergeCell ref="M3:T3"/>
    <mergeCell ref="M39:T39"/>
  </mergeCells>
  <conditionalFormatting sqref="C18:K18 C36:K36 C54:K54">
    <cfRule type="cellIs" dxfId="37" priority="155" operator="lessThan">
      <formula>0</formula>
    </cfRule>
    <cfRule type="cellIs" dxfId="36" priority="156" operator="greaterThan">
      <formula>0</formula>
    </cfRule>
    <cfRule type="cellIs" dxfId="35" priority="157" operator="greaterThan">
      <formula>"="</formula>
    </cfRule>
  </conditionalFormatting>
  <conditionalFormatting sqref="O16:R16">
    <cfRule type="cellIs" dxfId="34" priority="19" operator="equal">
      <formula>"No"</formula>
    </cfRule>
    <cfRule type="cellIs" dxfId="33" priority="20" operator="equal">
      <formula>"Yes"</formula>
    </cfRule>
  </conditionalFormatting>
  <conditionalFormatting sqref="O34:R34">
    <cfRule type="cellIs" dxfId="32" priority="11" operator="equal">
      <formula>"No"</formula>
    </cfRule>
    <cfRule type="cellIs" dxfId="31" priority="12" operator="equal">
      <formula>"Yes"</formula>
    </cfRule>
  </conditionalFormatting>
  <conditionalFormatting sqref="O52:R52">
    <cfRule type="cellIs" dxfId="30" priority="3" operator="equal">
      <formula>"No"</formula>
    </cfRule>
    <cfRule type="cellIs" dxfId="29" priority="4" operator="equal">
      <formula>"Yes"</formula>
    </cfRule>
  </conditionalFormatting>
  <conditionalFormatting sqref="S14:S16">
    <cfRule type="cellIs" dxfId="28" priority="21" operator="equal">
      <formula>"No"</formula>
    </cfRule>
    <cfRule type="cellIs" dxfId="27" priority="22" operator="equal">
      <formula>"Yes"</formula>
    </cfRule>
  </conditionalFormatting>
  <conditionalFormatting sqref="S32:S34">
    <cfRule type="cellIs" dxfId="26" priority="13" operator="equal">
      <formula>"No"</formula>
    </cfRule>
    <cfRule type="cellIs" dxfId="25" priority="14" operator="equal">
      <formula>"Yes"</formula>
    </cfRule>
  </conditionalFormatting>
  <conditionalFormatting sqref="S50:S52">
    <cfRule type="cellIs" dxfId="24" priority="5" operator="equal">
      <formula>"No"</formula>
    </cfRule>
    <cfRule type="cellIs" dxfId="23" priority="6" operator="equal">
      <formula>"Yes"</formula>
    </cfRule>
  </conditionalFormatting>
  <conditionalFormatting sqref="T15">
    <cfRule type="cellIs" dxfId="22" priority="99" operator="lessThan">
      <formula>T14</formula>
    </cfRule>
    <cfRule type="cellIs" dxfId="21" priority="100" operator="greaterThanOrEqual">
      <formula>T14</formula>
    </cfRule>
  </conditionalFormatting>
  <conditionalFormatting sqref="T16">
    <cfRule type="cellIs" dxfId="20" priority="17" operator="equal">
      <formula>"No"</formula>
    </cfRule>
    <cfRule type="cellIs" dxfId="19" priority="18" operator="equal">
      <formula>"Yes"</formula>
    </cfRule>
  </conditionalFormatting>
  <conditionalFormatting sqref="T33">
    <cfRule type="cellIs" dxfId="18" priority="15" operator="lessThan">
      <formula>T32</formula>
    </cfRule>
    <cfRule type="cellIs" dxfId="17" priority="16" operator="greaterThanOrEqual">
      <formula>T32</formula>
    </cfRule>
  </conditionalFormatting>
  <conditionalFormatting sqref="T34">
    <cfRule type="cellIs" dxfId="16" priority="9" operator="equal">
      <formula>"No"</formula>
    </cfRule>
    <cfRule type="cellIs" dxfId="15" priority="10" operator="equal">
      <formula>"Yes"</formula>
    </cfRule>
  </conditionalFormatting>
  <conditionalFormatting sqref="T51">
    <cfRule type="cellIs" dxfId="14" priority="7" operator="lessThan">
      <formula>T50</formula>
    </cfRule>
    <cfRule type="cellIs" dxfId="13" priority="8" operator="greaterThanOrEqual">
      <formula>T50</formula>
    </cfRule>
  </conditionalFormatting>
  <conditionalFormatting sqref="T52">
    <cfRule type="cellIs" dxfId="12" priority="1" operator="equal">
      <formula>"No"</formula>
    </cfRule>
    <cfRule type="cellIs" dxfId="11" priority="2" operator="equal">
      <formula>"Yes"</formula>
    </cfRule>
  </conditionalFormatting>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AD80E-E261-4CF7-B07D-3A7768D74050}">
  <sheetPr codeName="Sheet20"/>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172</v>
      </c>
      <c r="B1" s="285"/>
      <c r="C1" s="285"/>
      <c r="D1" s="285"/>
      <c r="E1" s="285"/>
      <c r="F1" s="285"/>
      <c r="G1" s="285"/>
      <c r="H1" s="285"/>
      <c r="I1" s="285"/>
      <c r="J1" s="285"/>
      <c r="K1" s="285"/>
    </row>
    <row r="2" spans="1:28" x14ac:dyDescent="0.25">
      <c r="P2" s="63" t="s">
        <v>78</v>
      </c>
      <c r="Q2" s="64">
        <v>0.92700000000000005</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0.12698453168578447</v>
      </c>
      <c r="C5" s="67">
        <v>0.40169896668967719</v>
      </c>
      <c r="D5" s="67">
        <v>3.1678747673331759E-2</v>
      </c>
      <c r="E5" s="67">
        <v>2.3591686761635828</v>
      </c>
      <c r="F5" s="67">
        <v>5.205617978254521E-2</v>
      </c>
      <c r="G5" s="67">
        <v>0.20423360833036944</v>
      </c>
      <c r="H5" s="67">
        <v>1.3761806285131775</v>
      </c>
      <c r="I5" s="67">
        <v>0.74619217818660077</v>
      </c>
      <c r="J5" s="67">
        <v>2.5581848225536059</v>
      </c>
      <c r="K5" s="67">
        <v>5.6553610712904809E-2</v>
      </c>
      <c r="L5" s="62" t="s">
        <v>81</v>
      </c>
      <c r="R5" s="67">
        <v>0.13657187748524896</v>
      </c>
      <c r="S5" s="67">
        <v>0.43202728187747602</v>
      </c>
      <c r="T5" s="67">
        <v>3.4070496529717963E-2</v>
      </c>
      <c r="U5" s="67">
        <v>2.5372861649425498</v>
      </c>
      <c r="V5" s="67">
        <v>5.5986426954770074E-2</v>
      </c>
      <c r="W5" s="67">
        <v>0.20423360833036944</v>
      </c>
      <c r="X5" s="67">
        <v>1.3761806285131775</v>
      </c>
      <c r="Y5" s="67">
        <v>0.74619217818660077</v>
      </c>
      <c r="Z5" s="67">
        <v>2.5581848225536059</v>
      </c>
      <c r="AA5" s="67">
        <v>5.6553610712904809E-2</v>
      </c>
    </row>
    <row r="6" spans="1:28" x14ac:dyDescent="0.25">
      <c r="A6" s="68" t="s">
        <v>9</v>
      </c>
      <c r="B6" s="67">
        <v>7.6413711603888823E-2</v>
      </c>
      <c r="C6" s="67">
        <v>0.24873133409846479</v>
      </c>
      <c r="D6" s="67">
        <v>2.1974913207747594E-3</v>
      </c>
      <c r="E6" s="67">
        <v>2.2522866083542099</v>
      </c>
      <c r="F6" s="67">
        <v>1.5101670050183401E-3</v>
      </c>
      <c r="G6" s="67">
        <v>9.2755140679964612E-2</v>
      </c>
      <c r="H6" s="67">
        <v>0.29789920365796768</v>
      </c>
      <c r="I6" s="67">
        <v>2.3634021518334691E-3</v>
      </c>
      <c r="J6" s="67">
        <v>2.7641583006361095</v>
      </c>
      <c r="K6" s="67">
        <v>1.8518029481892778E-3</v>
      </c>
      <c r="L6" s="62" t="s">
        <v>82</v>
      </c>
      <c r="R6" s="67">
        <v>8.2182955048277939E-2</v>
      </c>
      <c r="S6" s="67">
        <v>0.26751057657395655</v>
      </c>
      <c r="T6" s="67">
        <v>2.3634021518334691E-3</v>
      </c>
      <c r="U6" s="67">
        <v>2.422334489518402</v>
      </c>
      <c r="V6" s="67">
        <v>1.6241847763157026E-3</v>
      </c>
      <c r="W6" s="67">
        <v>9.2755140679964612E-2</v>
      </c>
      <c r="X6" s="67">
        <v>0.29789920365796768</v>
      </c>
      <c r="Y6" s="67">
        <v>2.3634021518334691E-3</v>
      </c>
      <c r="Z6" s="67">
        <v>2.7641583006361095</v>
      </c>
      <c r="AA6" s="67">
        <v>1.8518029481892778E-3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0.12571222902051643</v>
      </c>
      <c r="C8" s="67">
        <v>0.45059245032586187</v>
      </c>
      <c r="D8" s="67">
        <v>5.733306639403513</v>
      </c>
      <c r="E8" s="67">
        <v>0.16768118796492687</v>
      </c>
      <c r="F8" s="67">
        <v>0</v>
      </c>
      <c r="G8" s="67">
        <v>0.21406971220950272</v>
      </c>
      <c r="H8" s="67">
        <v>0.70431892842606703</v>
      </c>
      <c r="I8" s="67">
        <v>9.0285144749526047</v>
      </c>
      <c r="J8" s="67">
        <v>0.33411961303269827</v>
      </c>
      <c r="K8" s="67">
        <v>0</v>
      </c>
      <c r="W8" s="67">
        <v>0.42016427827786712</v>
      </c>
      <c r="X8" s="67">
        <v>1.3823985242244963</v>
      </c>
      <c r="Y8" s="67">
        <v>17.720672528289331</v>
      </c>
      <c r="Z8" s="67">
        <v>0.65579163263868823</v>
      </c>
      <c r="AA8" s="67">
        <v>0</v>
      </c>
      <c r="AB8" s="62" t="s">
        <v>86</v>
      </c>
    </row>
    <row r="9" spans="1:28" x14ac:dyDescent="0.25">
      <c r="A9" s="62" t="s">
        <v>87</v>
      </c>
      <c r="B9" s="67">
        <v>0.20390872634328633</v>
      </c>
      <c r="C9" s="67">
        <v>0.77843440126396257</v>
      </c>
      <c r="D9" s="67">
        <v>5.7355791563565486</v>
      </c>
      <c r="E9" s="67">
        <v>2.4229970137566688</v>
      </c>
      <c r="F9" s="67">
        <v>1.5764976373283317E-3</v>
      </c>
      <c r="G9" s="67">
        <v>0.32024852889643396</v>
      </c>
      <c r="H9" s="67">
        <v>1.5978899943384928</v>
      </c>
      <c r="I9" s="67">
        <v>9.0314427906378061</v>
      </c>
      <c r="J9" s="67">
        <v>3.1210867307944055</v>
      </c>
      <c r="K9" s="67">
        <v>2.3512465481892774E-3</v>
      </c>
      <c r="R9" s="67"/>
      <c r="S9" s="67"/>
      <c r="T9" s="67"/>
      <c r="U9" s="67"/>
      <c r="V9" s="67"/>
    </row>
  </sheetData>
  <sheetProtection algorithmName="SHA-512" hashValue="CvJWhgm95nlFar3j/+lw5TGkNzTAQ3LB9UAEedjN/yYwH05mRAsc7CmzwCo1HzTTTrag7OKJqeITgHulhU65cw==" saltValue="AP1GtgqGkWX1uwwKb9MWdw==" spinCount="100000" sheet="1" objects="1" scenarios="1"/>
  <mergeCells count="5">
    <mergeCell ref="A1:K1"/>
    <mergeCell ref="B3:F3"/>
    <mergeCell ref="G3:K3"/>
    <mergeCell ref="R3:V3"/>
    <mergeCell ref="W3:AA3"/>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CD8-5011-4DB4-80B8-C1D30BD67A29}">
  <sheetPr codeName="Sheet21"/>
  <dimension ref="A1:AB9"/>
  <sheetViews>
    <sheetView workbookViewId="0">
      <selection sqref="A1:K1"/>
    </sheetView>
  </sheetViews>
  <sheetFormatPr defaultColWidth="8.85546875" defaultRowHeight="15" x14ac:dyDescent="0.25"/>
  <cols>
    <col min="1" max="1" width="25" style="62" customWidth="1"/>
    <col min="2" max="16384" width="8.85546875" style="62"/>
  </cols>
  <sheetData>
    <row r="1" spans="1:28" ht="15.75" x14ac:dyDescent="0.25">
      <c r="A1" s="285" t="s">
        <v>92</v>
      </c>
      <c r="B1" s="285"/>
      <c r="C1" s="285"/>
      <c r="D1" s="285"/>
      <c r="E1" s="285"/>
      <c r="F1" s="285"/>
      <c r="G1" s="285"/>
      <c r="H1" s="285"/>
      <c r="I1" s="285"/>
      <c r="J1" s="285"/>
      <c r="K1" s="285"/>
    </row>
    <row r="2" spans="1:28" x14ac:dyDescent="0.25">
      <c r="P2" s="63" t="s">
        <v>78</v>
      </c>
      <c r="Q2" s="64">
        <v>0.9252261393073411</v>
      </c>
    </row>
    <row r="3" spans="1:28" x14ac:dyDescent="0.25">
      <c r="B3" s="284" t="s">
        <v>79</v>
      </c>
      <c r="C3" s="284"/>
      <c r="D3" s="284"/>
      <c r="E3" s="284"/>
      <c r="F3" s="284"/>
      <c r="G3" s="284" t="s">
        <v>0</v>
      </c>
      <c r="H3" s="284"/>
      <c r="I3" s="284"/>
      <c r="J3" s="284"/>
      <c r="K3" s="284"/>
      <c r="R3" s="284" t="s">
        <v>80</v>
      </c>
      <c r="S3" s="284"/>
      <c r="T3" s="284"/>
      <c r="U3" s="284"/>
      <c r="V3" s="284"/>
      <c r="W3" s="284" t="s">
        <v>0</v>
      </c>
      <c r="X3" s="284"/>
      <c r="Y3" s="284"/>
      <c r="Z3" s="284"/>
      <c r="AA3" s="284"/>
    </row>
    <row r="4" spans="1:28" x14ac:dyDescent="0.25">
      <c r="A4" s="65" t="s">
        <v>1</v>
      </c>
      <c r="B4" s="66" t="s">
        <v>2</v>
      </c>
      <c r="C4" s="66" t="s">
        <v>3</v>
      </c>
      <c r="D4" s="66" t="s">
        <v>4</v>
      </c>
      <c r="E4" s="66" t="s">
        <v>5</v>
      </c>
      <c r="F4" s="66" t="s">
        <v>6</v>
      </c>
      <c r="G4" s="66" t="s">
        <v>2</v>
      </c>
      <c r="H4" s="66" t="s">
        <v>3</v>
      </c>
      <c r="I4" s="66" t="s">
        <v>4</v>
      </c>
      <c r="J4" s="66" t="s">
        <v>5</v>
      </c>
      <c r="K4" s="66" t="s">
        <v>6</v>
      </c>
      <c r="R4" s="66" t="s">
        <v>2</v>
      </c>
      <c r="S4" s="66" t="s">
        <v>3</v>
      </c>
      <c r="T4" s="66" t="s">
        <v>4</v>
      </c>
      <c r="U4" s="66" t="s">
        <v>5</v>
      </c>
      <c r="V4" s="66" t="s">
        <v>6</v>
      </c>
      <c r="W4" s="66" t="s">
        <v>2</v>
      </c>
      <c r="X4" s="66" t="s">
        <v>3</v>
      </c>
      <c r="Y4" s="66" t="s">
        <v>4</v>
      </c>
      <c r="Z4" s="66" t="s">
        <v>5</v>
      </c>
      <c r="AA4" s="66" t="s">
        <v>6</v>
      </c>
    </row>
    <row r="5" spans="1:28" x14ac:dyDescent="0.25">
      <c r="A5" s="62" t="s">
        <v>8</v>
      </c>
      <c r="B5" s="67">
        <v>0.12845755977734816</v>
      </c>
      <c r="C5" s="67">
        <v>0.40635869850449502</v>
      </c>
      <c r="D5" s="67">
        <v>3.2046223023351889E-2</v>
      </c>
      <c r="E5" s="67">
        <v>2.3865351725910773</v>
      </c>
      <c r="F5" s="67">
        <v>5.2660034552423157E-2</v>
      </c>
      <c r="G5" s="67">
        <v>0.20660273028812459</v>
      </c>
      <c r="H5" s="67">
        <v>1.39214440534453</v>
      </c>
      <c r="I5" s="67">
        <v>0.75484805166648061</v>
      </c>
      <c r="J5" s="67">
        <v>2.5878599180712056</v>
      </c>
      <c r="K5" s="67">
        <v>5.7209635948053908E-2</v>
      </c>
      <c r="L5" s="62" t="s">
        <v>81</v>
      </c>
      <c r="R5" s="67">
        <v>0.13815611935614988</v>
      </c>
      <c r="S5" s="67">
        <v>0.43703882394546678</v>
      </c>
      <c r="T5" s="67">
        <v>3.4465716308186588E-2</v>
      </c>
      <c r="U5" s="67">
        <v>2.566718834793587</v>
      </c>
      <c r="V5" s="67">
        <v>5.6635872824718388E-2</v>
      </c>
      <c r="W5" s="67">
        <v>0.20660273028812459</v>
      </c>
      <c r="X5" s="67">
        <v>1.39214440534453</v>
      </c>
      <c r="Y5" s="67">
        <v>0.75484805166648061</v>
      </c>
      <c r="Z5" s="67">
        <v>2.5878599180712056</v>
      </c>
      <c r="AA5" s="67">
        <v>5.7209635948053908E-2</v>
      </c>
    </row>
    <row r="6" spans="1:28" x14ac:dyDescent="0.25">
      <c r="A6" s="68" t="s">
        <v>9</v>
      </c>
      <c r="B6" s="67">
        <v>7.4355681638544197E-2</v>
      </c>
      <c r="C6" s="67">
        <v>0.24595696784503202</v>
      </c>
      <c r="D6" s="67">
        <v>2.1974913207747594E-3</v>
      </c>
      <c r="E6" s="67">
        <v>2.1860914630863371</v>
      </c>
      <c r="F6" s="67">
        <v>1.4800497239999856E-3</v>
      </c>
      <c r="G6" s="67">
        <v>9.0098703558244078E-2</v>
      </c>
      <c r="H6" s="67">
        <v>0.29411676878937854</v>
      </c>
      <c r="I6" s="67">
        <v>2.3634021518334691E-3</v>
      </c>
      <c r="J6" s="67">
        <v>2.6786650114498727</v>
      </c>
      <c r="K6" s="67">
        <v>1.8119569270346686E-3</v>
      </c>
      <c r="L6" s="62" t="s">
        <v>82</v>
      </c>
      <c r="R6" s="67">
        <v>7.9969543599208645E-2</v>
      </c>
      <c r="S6" s="67">
        <v>0.26452674537000648</v>
      </c>
      <c r="T6" s="67">
        <v>2.3634021518334691E-3</v>
      </c>
      <c r="U6" s="67">
        <v>2.3511416036635158</v>
      </c>
      <c r="V6" s="67">
        <v>1.5917936373413483E-3</v>
      </c>
      <c r="W6" s="67">
        <v>9.0098703558244078E-2</v>
      </c>
      <c r="X6" s="67">
        <v>0.29411676878937854</v>
      </c>
      <c r="Y6" s="67">
        <v>2.3634021518334691E-3</v>
      </c>
      <c r="Z6" s="67">
        <v>2.6786650114498727</v>
      </c>
      <c r="AA6" s="67">
        <v>1.8119569270346686E-3</v>
      </c>
    </row>
    <row r="7" spans="1:28" x14ac:dyDescent="0.25">
      <c r="A7" s="68" t="s">
        <v>83</v>
      </c>
      <c r="B7" s="67">
        <v>1.7827857188810895E-3</v>
      </c>
      <c r="C7" s="67">
        <v>7.9110616839635953E-2</v>
      </c>
      <c r="D7" s="67">
        <v>7.5025632261007568E-5</v>
      </c>
      <c r="E7" s="67">
        <v>3.0292174375322421E-3</v>
      </c>
      <c r="F7" s="67">
        <v>6.633063230999154E-5</v>
      </c>
      <c r="G7" s="67">
        <v>1.3423676006966621E-2</v>
      </c>
      <c r="H7" s="67">
        <v>0.59567186225445823</v>
      </c>
      <c r="I7" s="67">
        <v>5.6491353336713649E-4</v>
      </c>
      <c r="J7" s="67">
        <v>2.2808817125597982E-2</v>
      </c>
      <c r="K7" s="67">
        <v>4.9944359999999936E-4</v>
      </c>
      <c r="L7" s="62" t="s">
        <v>84</v>
      </c>
      <c r="W7" s="67">
        <v>1.3423676006966621E-2</v>
      </c>
      <c r="X7" s="67">
        <v>0.59567186225445823</v>
      </c>
      <c r="Y7" s="67">
        <v>5.6491353336713649E-4</v>
      </c>
      <c r="Z7" s="67">
        <v>2.2808817125597982E-2</v>
      </c>
      <c r="AA7" s="67">
        <v>4.9944359999999936E-4</v>
      </c>
    </row>
    <row r="8" spans="1:28" x14ac:dyDescent="0.25">
      <c r="A8" s="68" t="s">
        <v>85</v>
      </c>
      <c r="B8" s="67">
        <v>0.12664299539241358</v>
      </c>
      <c r="C8" s="67">
        <v>0.45284693239096918</v>
      </c>
      <c r="D8" s="67">
        <v>5.7718432421590986</v>
      </c>
      <c r="E8" s="67">
        <v>0.16937109073886852</v>
      </c>
      <c r="F8" s="67">
        <v>0</v>
      </c>
      <c r="G8" s="67">
        <v>0.21500047858139987</v>
      </c>
      <c r="H8" s="67">
        <v>0.70657341049117428</v>
      </c>
      <c r="I8" s="67">
        <v>9.0670510777081912</v>
      </c>
      <c r="J8" s="67">
        <v>0.33580951580663992</v>
      </c>
      <c r="K8" s="67">
        <v>0</v>
      </c>
      <c r="W8" s="67">
        <v>0.421991135411728</v>
      </c>
      <c r="X8" s="67">
        <v>1.3868234978464029</v>
      </c>
      <c r="Y8" s="67">
        <v>17.796310056442941</v>
      </c>
      <c r="Z8" s="67">
        <v>0.65910848102440511</v>
      </c>
      <c r="AA8" s="67">
        <v>0</v>
      </c>
      <c r="AB8" s="62" t="s">
        <v>86</v>
      </c>
    </row>
    <row r="9" spans="1:28" x14ac:dyDescent="0.25">
      <c r="A9" s="62" t="s">
        <v>87</v>
      </c>
      <c r="B9" s="67">
        <v>0.20278146274983888</v>
      </c>
      <c r="C9" s="67">
        <v>0.77791451707563719</v>
      </c>
      <c r="D9" s="67">
        <v>5.7741157591121341</v>
      </c>
      <c r="E9" s="67">
        <v>2.3584917712627376</v>
      </c>
      <c r="F9" s="67">
        <v>1.5463803563099772E-3</v>
      </c>
      <c r="G9" s="67">
        <v>0.31852285814661058</v>
      </c>
      <c r="H9" s="67">
        <v>1.596362041535011</v>
      </c>
      <c r="I9" s="67">
        <v>9.0699793933933925</v>
      </c>
      <c r="J9" s="67">
        <v>3.0372833443821103</v>
      </c>
      <c r="K9" s="67">
        <v>2.311400527034668E-3</v>
      </c>
      <c r="R9" s="67"/>
      <c r="S9" s="67"/>
      <c r="T9" s="67"/>
      <c r="U9" s="67"/>
      <c r="V9" s="67"/>
    </row>
  </sheetData>
  <sheetProtection algorithmName="SHA-512" hashValue="pLvT5TjGfx8AXoW+xxnZhBJGhPBKiyyJ0DTCJNnweim9UuzI5RVfEXWRGaxCceBRufRcYzbcwLqpAvLjwLaQPg==" saltValue="XpCEEH4s4nmQuRcXr9WfAA==" spinCount="100000" sheet="1" objects="1" scenarios="1"/>
  <mergeCells count="5">
    <mergeCell ref="B3:F3"/>
    <mergeCell ref="G3:K3"/>
    <mergeCell ref="R3:V3"/>
    <mergeCell ref="W3:AA3"/>
    <mergeCell ref="A1:K1"/>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FCD2-E164-4023-AF63-907D89F74DA1}">
  <sheetPr codeName="Sheet22"/>
  <dimension ref="A2:X92"/>
  <sheetViews>
    <sheetView workbookViewId="0">
      <selection activeCell="M16" sqref="M16"/>
    </sheetView>
  </sheetViews>
  <sheetFormatPr defaultRowHeight="15" x14ac:dyDescent="0.25"/>
  <cols>
    <col min="1" max="1" width="13" customWidth="1"/>
    <col min="23" max="23" width="11.85546875" customWidth="1"/>
  </cols>
  <sheetData>
    <row r="2" spans="1:24" x14ac:dyDescent="0.25">
      <c r="A2" t="s">
        <v>186</v>
      </c>
    </row>
    <row r="3" spans="1:24" x14ac:dyDescent="0.25">
      <c r="A3" s="77" t="s">
        <v>187</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2.4413</v>
      </c>
      <c r="C7">
        <v>7.7000000000000002E-3</v>
      </c>
      <c r="D7">
        <v>0.1555</v>
      </c>
      <c r="E7">
        <v>0.20649999999999999</v>
      </c>
      <c r="F7">
        <v>0.20649999999999999</v>
      </c>
      <c r="G7">
        <v>0.28739999999999999</v>
      </c>
      <c r="H7">
        <v>0.47549999999999998</v>
      </c>
      <c r="I7">
        <v>15.3794</v>
      </c>
      <c r="J7">
        <v>0.1089</v>
      </c>
      <c r="K7">
        <v>2.1671999999999998</v>
      </c>
      <c r="L7">
        <v>1.9052</v>
      </c>
      <c r="M7">
        <v>1.9052</v>
      </c>
      <c r="N7">
        <v>3.6682000000000001</v>
      </c>
      <c r="O7">
        <v>6.6634000000000002</v>
      </c>
      <c r="P7">
        <v>17.820699999999999</v>
      </c>
      <c r="Q7">
        <v>0.11650000000000001</v>
      </c>
      <c r="R7">
        <v>2.3227000000000002</v>
      </c>
      <c r="S7">
        <v>2.1116999999999999</v>
      </c>
      <c r="T7">
        <v>2.1116999999999999</v>
      </c>
      <c r="U7">
        <v>3.9556</v>
      </c>
      <c r="V7">
        <v>7.1388999999999996</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6.6E-3</v>
      </c>
      <c r="E10">
        <v>2.0000000000000001E-4</v>
      </c>
      <c r="F10">
        <v>2.0000000000000001E-4</v>
      </c>
      <c r="G10">
        <v>4.7000000000000002E-3</v>
      </c>
      <c r="H10">
        <v>2.9999999999999997E-4</v>
      </c>
      <c r="I10">
        <v>1.21E-2</v>
      </c>
      <c r="J10">
        <v>6.9999999999999999E-4</v>
      </c>
      <c r="K10">
        <v>0.48659999999999998</v>
      </c>
      <c r="L10">
        <v>1.23E-2</v>
      </c>
      <c r="M10">
        <v>1.23E-2</v>
      </c>
      <c r="N10">
        <v>0.39929999999999999</v>
      </c>
      <c r="O10">
        <v>1.9300000000000001E-2</v>
      </c>
      <c r="P10">
        <v>1.23E-2</v>
      </c>
      <c r="Q10">
        <v>6.9999999999999999E-4</v>
      </c>
      <c r="R10">
        <v>0.49320000000000003</v>
      </c>
      <c r="S10">
        <v>1.2500000000000001E-2</v>
      </c>
      <c r="T10">
        <v>1.2500000000000001E-2</v>
      </c>
      <c r="U10">
        <v>0.40400000000000003</v>
      </c>
      <c r="V10">
        <v>1.95E-2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2.6700000000000002E-2</v>
      </c>
      <c r="J13">
        <v>2.9999999999999997E-4</v>
      </c>
      <c r="K13">
        <v>1E-3</v>
      </c>
      <c r="L13">
        <v>1.6000000000000001E-3</v>
      </c>
      <c r="M13">
        <v>1.6000000000000001E-3</v>
      </c>
      <c r="N13">
        <v>1.9E-3</v>
      </c>
      <c r="O13">
        <v>2E-3</v>
      </c>
      <c r="P13">
        <v>2.6800000000000001E-2</v>
      </c>
      <c r="Q13">
        <v>2.9999999999999997E-4</v>
      </c>
      <c r="R13">
        <v>1E-3</v>
      </c>
      <c r="S13">
        <v>1.6000000000000001E-3</v>
      </c>
      <c r="T13">
        <v>1.6000000000000001E-3</v>
      </c>
      <c r="U13">
        <v>1.9E-3</v>
      </c>
      <c r="V13">
        <v>2.0999999999999999E-3</v>
      </c>
      <c r="W13" s="4" t="s">
        <v>122</v>
      </c>
      <c r="X13" s="4" t="s">
        <v>114</v>
      </c>
    </row>
    <row r="14" spans="1:24" x14ac:dyDescent="0.25">
      <c r="A14" s="4">
        <v>2104004000</v>
      </c>
      <c r="B14">
        <v>4.1999999999999997E-3</v>
      </c>
      <c r="C14">
        <v>2.0000000000000001E-4</v>
      </c>
      <c r="D14">
        <v>0.10639999999999999</v>
      </c>
      <c r="E14">
        <v>4.3E-3</v>
      </c>
      <c r="F14">
        <v>4.3E-3</v>
      </c>
      <c r="G14">
        <v>0.2742</v>
      </c>
      <c r="H14">
        <v>6.7999999999999996E-3</v>
      </c>
      <c r="I14">
        <v>4.9099999999999998E-2</v>
      </c>
      <c r="J14">
        <v>2.7000000000000001E-3</v>
      </c>
      <c r="K14">
        <v>1.2304999999999999</v>
      </c>
      <c r="L14">
        <v>0.05</v>
      </c>
      <c r="M14">
        <v>0.05</v>
      </c>
      <c r="N14">
        <v>3.2027000000000001</v>
      </c>
      <c r="O14">
        <v>7.8200000000000006E-2</v>
      </c>
      <c r="P14">
        <v>5.33E-2</v>
      </c>
      <c r="Q14">
        <v>2.8999999999999998E-3</v>
      </c>
      <c r="R14">
        <v>1.3369</v>
      </c>
      <c r="S14">
        <v>5.4300000000000001E-2</v>
      </c>
      <c r="T14">
        <v>5.4300000000000001E-2</v>
      </c>
      <c r="U14">
        <v>3.4769000000000001</v>
      </c>
      <c r="V14">
        <v>8.4900000000000003E-2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8.9099999999999999E-2</v>
      </c>
      <c r="C16">
        <v>5.9999999999999995E-4</v>
      </c>
      <c r="D16">
        <v>8.9999999999999998E-4</v>
      </c>
      <c r="E16">
        <v>1.2200000000000001E-2</v>
      </c>
      <c r="F16">
        <v>1.2200000000000001E-2</v>
      </c>
      <c r="G16">
        <v>1E-4</v>
      </c>
      <c r="H16">
        <v>8.0799999999999997E-2</v>
      </c>
      <c r="I16">
        <v>5.3318000000000003</v>
      </c>
      <c r="J16">
        <v>3.7999999999999999E-2</v>
      </c>
      <c r="K16">
        <v>5.4899999999999997E-2</v>
      </c>
      <c r="L16">
        <v>0.8649</v>
      </c>
      <c r="M16">
        <v>0.8649</v>
      </c>
      <c r="N16">
        <v>8.3999999999999995E-3</v>
      </c>
      <c r="O16">
        <v>4.8335999999999997</v>
      </c>
      <c r="P16">
        <v>5.4208999999999996</v>
      </c>
      <c r="Q16">
        <v>3.8600000000000002E-2</v>
      </c>
      <c r="R16">
        <v>5.5800000000000002E-2</v>
      </c>
      <c r="S16">
        <v>0.87709999999999999</v>
      </c>
      <c r="T16">
        <v>0.87709999999999999</v>
      </c>
      <c r="U16">
        <v>8.6E-3</v>
      </c>
      <c r="V16">
        <v>4.9143999999999997</v>
      </c>
      <c r="W16" s="4" t="s">
        <v>125</v>
      </c>
      <c r="X16" s="4" t="s">
        <v>116</v>
      </c>
    </row>
    <row r="17" spans="1:24" x14ac:dyDescent="0.25">
      <c r="A17" s="4">
        <v>2104008210</v>
      </c>
      <c r="B17">
        <v>6.6699999999999995E-2</v>
      </c>
      <c r="C17">
        <v>5.0000000000000001E-4</v>
      </c>
      <c r="D17">
        <v>8.0000000000000004E-4</v>
      </c>
      <c r="E17">
        <v>8.8000000000000005E-3</v>
      </c>
      <c r="F17">
        <v>8.8000000000000005E-3</v>
      </c>
      <c r="G17">
        <v>1E-4</v>
      </c>
      <c r="H17">
        <v>1.5299999999999999E-2</v>
      </c>
      <c r="I17">
        <v>0.27639999999999998</v>
      </c>
      <c r="J17">
        <v>2E-3</v>
      </c>
      <c r="K17">
        <v>3.3999999999999998E-3</v>
      </c>
      <c r="L17">
        <v>4.3400000000000001E-2</v>
      </c>
      <c r="M17">
        <v>4.3400000000000001E-2</v>
      </c>
      <c r="N17">
        <v>5.0000000000000001E-4</v>
      </c>
      <c r="O17">
        <v>6.3500000000000001E-2</v>
      </c>
      <c r="P17">
        <v>0.34310000000000002</v>
      </c>
      <c r="Q17">
        <v>2.5000000000000001E-3</v>
      </c>
      <c r="R17">
        <v>4.1999999999999997E-3</v>
      </c>
      <c r="S17">
        <v>5.2200000000000003E-2</v>
      </c>
      <c r="T17">
        <v>5.2200000000000003E-2</v>
      </c>
      <c r="U17">
        <v>5.9999999999999995E-4</v>
      </c>
      <c r="V17">
        <v>7.8799999999999995E-2</v>
      </c>
      <c r="W17" s="4" t="s">
        <v>126</v>
      </c>
      <c r="X17" s="4" t="s">
        <v>116</v>
      </c>
    </row>
    <row r="18" spans="1:24" x14ac:dyDescent="0.25">
      <c r="A18" s="4">
        <v>2104008220</v>
      </c>
      <c r="B18">
        <v>0.10920000000000001</v>
      </c>
      <c r="C18">
        <v>6.9999999999999999E-4</v>
      </c>
      <c r="D18">
        <v>1.6000000000000001E-3</v>
      </c>
      <c r="E18">
        <v>9.2999999999999992E-3</v>
      </c>
      <c r="F18">
        <v>9.2999999999999992E-3</v>
      </c>
      <c r="G18">
        <v>2.9999999999999997E-4</v>
      </c>
      <c r="H18">
        <v>9.2999999999999992E-3</v>
      </c>
      <c r="I18">
        <v>0.45219999999999999</v>
      </c>
      <c r="J18">
        <v>2.8999999999999998E-3</v>
      </c>
      <c r="K18">
        <v>6.4000000000000003E-3</v>
      </c>
      <c r="L18">
        <v>4.5600000000000002E-2</v>
      </c>
      <c r="M18">
        <v>4.5600000000000002E-2</v>
      </c>
      <c r="N18">
        <v>1.2999999999999999E-3</v>
      </c>
      <c r="O18">
        <v>3.85E-2</v>
      </c>
      <c r="P18">
        <v>0.56140000000000001</v>
      </c>
      <c r="Q18">
        <v>3.5999999999999999E-3</v>
      </c>
      <c r="R18">
        <v>8.0000000000000002E-3</v>
      </c>
      <c r="S18">
        <v>5.4899999999999997E-2</v>
      </c>
      <c r="T18">
        <v>5.4899999999999997E-2</v>
      </c>
      <c r="U18">
        <v>1.6000000000000001E-3</v>
      </c>
      <c r="V18">
        <v>4.7800000000000002E-2</v>
      </c>
      <c r="W18" s="4" t="s">
        <v>127</v>
      </c>
      <c r="X18" s="4" t="s">
        <v>116</v>
      </c>
    </row>
    <row r="19" spans="1:24" x14ac:dyDescent="0.25">
      <c r="A19" s="4">
        <v>2104008230</v>
      </c>
      <c r="B19">
        <v>9.9199999999999997E-2</v>
      </c>
      <c r="C19">
        <v>8.0000000000000004E-4</v>
      </c>
      <c r="D19">
        <v>1.9E-3</v>
      </c>
      <c r="E19">
        <v>1.21E-2</v>
      </c>
      <c r="F19">
        <v>1.21E-2</v>
      </c>
      <c r="G19">
        <v>4.0000000000000002E-4</v>
      </c>
      <c r="H19">
        <v>1.3899999999999999E-2</v>
      </c>
      <c r="I19">
        <v>0.4108</v>
      </c>
      <c r="J19">
        <v>3.5000000000000001E-3</v>
      </c>
      <c r="K19">
        <v>7.7000000000000002E-3</v>
      </c>
      <c r="L19">
        <v>5.91E-2</v>
      </c>
      <c r="M19">
        <v>5.91E-2</v>
      </c>
      <c r="N19">
        <v>1.5E-3</v>
      </c>
      <c r="O19">
        <v>5.7599999999999998E-2</v>
      </c>
      <c r="P19">
        <v>0.51</v>
      </c>
      <c r="Q19">
        <v>4.3E-3</v>
      </c>
      <c r="R19">
        <v>9.4999999999999998E-3</v>
      </c>
      <c r="S19">
        <v>7.1199999999999999E-2</v>
      </c>
      <c r="T19">
        <v>7.1199999999999999E-2</v>
      </c>
      <c r="U19">
        <v>1.9E-3</v>
      </c>
      <c r="V19">
        <v>7.1499999999999994E-2</v>
      </c>
      <c r="W19" s="4" t="s">
        <v>128</v>
      </c>
      <c r="X19" s="4" t="s">
        <v>116</v>
      </c>
    </row>
    <row r="20" spans="1:24" x14ac:dyDescent="0.25">
      <c r="A20" s="4">
        <v>2104008310</v>
      </c>
      <c r="B20">
        <v>0.28670000000000001</v>
      </c>
      <c r="C20">
        <v>8.9999999999999998E-4</v>
      </c>
      <c r="D20">
        <v>3.3999999999999998E-3</v>
      </c>
      <c r="E20">
        <v>2.87E-2</v>
      </c>
      <c r="F20">
        <v>2.87E-2</v>
      </c>
      <c r="G20">
        <v>8.9999999999999998E-4</v>
      </c>
      <c r="H20">
        <v>0.12540000000000001</v>
      </c>
      <c r="I20">
        <v>1.1871</v>
      </c>
      <c r="J20">
        <v>3.8999999999999998E-3</v>
      </c>
      <c r="K20">
        <v>1.4200000000000001E-2</v>
      </c>
      <c r="L20">
        <v>0.1409</v>
      </c>
      <c r="M20">
        <v>0.1409</v>
      </c>
      <c r="N20">
        <v>3.8999999999999998E-3</v>
      </c>
      <c r="O20">
        <v>0.51919999999999999</v>
      </c>
      <c r="P20">
        <v>1.4738</v>
      </c>
      <c r="Q20">
        <v>4.7999999999999996E-3</v>
      </c>
      <c r="R20">
        <v>1.77E-2</v>
      </c>
      <c r="S20">
        <v>0.1696</v>
      </c>
      <c r="T20">
        <v>0.1696</v>
      </c>
      <c r="U20">
        <v>4.8999999999999998E-3</v>
      </c>
      <c r="V20">
        <v>0.64459999999999995</v>
      </c>
      <c r="W20" s="4" t="s">
        <v>129</v>
      </c>
      <c r="X20" s="4" t="s">
        <v>116</v>
      </c>
    </row>
    <row r="21" spans="1:24" x14ac:dyDescent="0.25">
      <c r="A21" s="4">
        <v>2104008320</v>
      </c>
      <c r="B21">
        <v>0.78459999999999996</v>
      </c>
      <c r="C21">
        <v>1.6000000000000001E-3</v>
      </c>
      <c r="D21">
        <v>1.0200000000000001E-2</v>
      </c>
      <c r="E21">
        <v>5.0299999999999997E-2</v>
      </c>
      <c r="F21">
        <v>5.0299999999999997E-2</v>
      </c>
      <c r="G21">
        <v>2.5000000000000001E-3</v>
      </c>
      <c r="H21">
        <v>7.6100000000000001E-2</v>
      </c>
      <c r="I21">
        <v>3.2484999999999999</v>
      </c>
      <c r="J21">
        <v>6.6E-3</v>
      </c>
      <c r="K21">
        <v>4.2299999999999997E-2</v>
      </c>
      <c r="L21">
        <v>0.24660000000000001</v>
      </c>
      <c r="M21">
        <v>0.24660000000000001</v>
      </c>
      <c r="N21">
        <v>1.0500000000000001E-2</v>
      </c>
      <c r="O21">
        <v>0.31530000000000002</v>
      </c>
      <c r="P21">
        <v>4.0331000000000001</v>
      </c>
      <c r="Q21">
        <v>8.0999999999999996E-3</v>
      </c>
      <c r="R21">
        <v>5.2499999999999998E-2</v>
      </c>
      <c r="S21">
        <v>0.2969</v>
      </c>
      <c r="T21">
        <v>0.2969</v>
      </c>
      <c r="U21">
        <v>1.2999999999999999E-2</v>
      </c>
      <c r="V21">
        <v>0.39140000000000003</v>
      </c>
      <c r="W21" s="4" t="s">
        <v>130</v>
      </c>
      <c r="X21" s="4" t="s">
        <v>116</v>
      </c>
    </row>
    <row r="22" spans="1:24" x14ac:dyDescent="0.25">
      <c r="A22" s="4">
        <v>2104008330</v>
      </c>
      <c r="B22">
        <v>0.93789999999999996</v>
      </c>
      <c r="C22">
        <v>1.9E-3</v>
      </c>
      <c r="D22">
        <v>1.2200000000000001E-2</v>
      </c>
      <c r="E22">
        <v>6.6699999999999995E-2</v>
      </c>
      <c r="F22">
        <v>6.6699999999999995E-2</v>
      </c>
      <c r="G22">
        <v>3.0000000000000001E-3</v>
      </c>
      <c r="H22">
        <v>0.1138</v>
      </c>
      <c r="I22">
        <v>3.8833000000000002</v>
      </c>
      <c r="J22">
        <v>7.7999999999999996E-3</v>
      </c>
      <c r="K22">
        <v>5.0500000000000003E-2</v>
      </c>
      <c r="L22">
        <v>0.3271</v>
      </c>
      <c r="M22">
        <v>0.3271</v>
      </c>
      <c r="N22">
        <v>1.26E-2</v>
      </c>
      <c r="O22">
        <v>0.47110000000000002</v>
      </c>
      <c r="P22">
        <v>4.8212000000000002</v>
      </c>
      <c r="Q22">
        <v>9.7000000000000003E-3</v>
      </c>
      <c r="R22">
        <v>6.2700000000000006E-2</v>
      </c>
      <c r="S22">
        <v>0.39379999999999998</v>
      </c>
      <c r="T22">
        <v>0.39379999999999998</v>
      </c>
      <c r="U22">
        <v>1.5599999999999999E-2</v>
      </c>
      <c r="V22">
        <v>0.58489999999999998</v>
      </c>
      <c r="W22" s="4" t="s">
        <v>131</v>
      </c>
      <c r="X22" s="4" t="s">
        <v>116</v>
      </c>
    </row>
    <row r="23" spans="1:24" x14ac:dyDescent="0.25">
      <c r="A23" s="4">
        <v>2104008410</v>
      </c>
      <c r="B23">
        <v>3.8E-3</v>
      </c>
      <c r="C23">
        <v>0</v>
      </c>
      <c r="D23">
        <v>1.5E-3</v>
      </c>
      <c r="E23">
        <v>1.1000000000000001E-3</v>
      </c>
      <c r="F23">
        <v>1.1000000000000001E-3</v>
      </c>
      <c r="G23">
        <v>1E-4</v>
      </c>
      <c r="H23">
        <v>8.9999999999999998E-4</v>
      </c>
      <c r="I23">
        <v>1.5699999999999999E-2</v>
      </c>
      <c r="J23">
        <v>1E-4</v>
      </c>
      <c r="K23">
        <v>6.3E-3</v>
      </c>
      <c r="L23">
        <v>5.5999999999999999E-3</v>
      </c>
      <c r="M23">
        <v>5.5999999999999999E-3</v>
      </c>
      <c r="N23">
        <v>5.0000000000000001E-4</v>
      </c>
      <c r="O23">
        <v>3.5999999999999999E-3</v>
      </c>
      <c r="P23">
        <v>1.95E-2</v>
      </c>
      <c r="Q23">
        <v>1E-4</v>
      </c>
      <c r="R23">
        <v>7.9000000000000008E-3</v>
      </c>
      <c r="S23">
        <v>6.7000000000000002E-3</v>
      </c>
      <c r="T23">
        <v>6.7000000000000002E-3</v>
      </c>
      <c r="U23">
        <v>5.9999999999999995E-4</v>
      </c>
      <c r="V23">
        <v>4.4999999999999997E-3</v>
      </c>
      <c r="W23" s="4" t="s">
        <v>132</v>
      </c>
      <c r="X23" s="4" t="s">
        <v>116</v>
      </c>
    </row>
    <row r="24" spans="1:24" x14ac:dyDescent="0.25">
      <c r="A24" s="4">
        <v>2104008420</v>
      </c>
      <c r="B24">
        <v>2.24E-2</v>
      </c>
      <c r="C24">
        <v>2.0000000000000001E-4</v>
      </c>
      <c r="D24">
        <v>8.9999999999999993E-3</v>
      </c>
      <c r="E24">
        <v>6.7000000000000002E-3</v>
      </c>
      <c r="F24">
        <v>6.7000000000000002E-3</v>
      </c>
      <c r="G24">
        <v>6.9999999999999999E-4</v>
      </c>
      <c r="H24">
        <v>5.1999999999999998E-3</v>
      </c>
      <c r="I24">
        <v>9.2700000000000005E-2</v>
      </c>
      <c r="J24">
        <v>6.9999999999999999E-4</v>
      </c>
      <c r="K24">
        <v>3.7400000000000003E-2</v>
      </c>
      <c r="L24">
        <v>3.27E-2</v>
      </c>
      <c r="M24">
        <v>3.27E-2</v>
      </c>
      <c r="N24">
        <v>3.0000000000000001E-3</v>
      </c>
      <c r="O24">
        <v>2.1399999999999999E-2</v>
      </c>
      <c r="P24">
        <v>0.11509999999999999</v>
      </c>
      <c r="Q24">
        <v>8.0000000000000004E-4</v>
      </c>
      <c r="R24">
        <v>4.6399999999999997E-2</v>
      </c>
      <c r="S24">
        <v>3.9399999999999998E-2</v>
      </c>
      <c r="T24">
        <v>3.9399999999999998E-2</v>
      </c>
      <c r="U24">
        <v>3.7000000000000002E-3</v>
      </c>
      <c r="V24">
        <v>2.6599999999999999E-2</v>
      </c>
      <c r="W24" s="4" t="s">
        <v>133</v>
      </c>
      <c r="X24" s="4" t="s">
        <v>116</v>
      </c>
    </row>
    <row r="25" spans="1:24" x14ac:dyDescent="0.25">
      <c r="A25" s="4">
        <v>2104008610</v>
      </c>
      <c r="B25">
        <v>3.6799999999999999E-2</v>
      </c>
      <c r="C25">
        <v>1E-4</v>
      </c>
      <c r="D25">
        <v>1E-3</v>
      </c>
      <c r="E25">
        <v>6.0000000000000001E-3</v>
      </c>
      <c r="F25">
        <v>6.0000000000000001E-3</v>
      </c>
      <c r="G25">
        <v>2.0000000000000001E-4</v>
      </c>
      <c r="H25">
        <v>2.75E-2</v>
      </c>
      <c r="I25">
        <v>0.3039</v>
      </c>
      <c r="J25">
        <v>1.1999999999999999E-3</v>
      </c>
      <c r="K25">
        <v>8.0999999999999996E-3</v>
      </c>
      <c r="L25">
        <v>5.8599999999999999E-2</v>
      </c>
      <c r="M25">
        <v>5.8599999999999999E-2</v>
      </c>
      <c r="N25">
        <v>2E-3</v>
      </c>
      <c r="O25">
        <v>0.2278</v>
      </c>
      <c r="P25">
        <v>0.34060000000000001</v>
      </c>
      <c r="Q25">
        <v>1.4E-3</v>
      </c>
      <c r="R25">
        <v>9.1000000000000004E-3</v>
      </c>
      <c r="S25">
        <v>6.4600000000000005E-2</v>
      </c>
      <c r="T25">
        <v>6.4600000000000005E-2</v>
      </c>
      <c r="U25">
        <v>2.2000000000000001E-3</v>
      </c>
      <c r="V25">
        <v>0.25530000000000003</v>
      </c>
      <c r="W25" s="4" t="s">
        <v>134</v>
      </c>
      <c r="X25" s="4" t="s">
        <v>116</v>
      </c>
    </row>
    <row r="26" spans="1:24" x14ac:dyDescent="0.25">
      <c r="X26" s="4"/>
    </row>
    <row r="27" spans="1:24" x14ac:dyDescent="0.25">
      <c r="B27" s="79">
        <f>SUMIFS(B8:B25,$X8:$X25,$X27)/B7</f>
        <v>0.99811575799778807</v>
      </c>
      <c r="C27" s="79">
        <f t="shared" ref="C27:V27" si="0">SUMIFS(C8:C25,$X8:$X25,$X27)/C7</f>
        <v>0.94805194805194792</v>
      </c>
      <c r="D27" s="79">
        <f t="shared" si="0"/>
        <v>0.27331189710610937</v>
      </c>
      <c r="E27" s="79">
        <f t="shared" si="0"/>
        <v>0.97772397094430996</v>
      </c>
      <c r="F27" s="79">
        <f t="shared" si="0"/>
        <v>0.97772397094430996</v>
      </c>
      <c r="G27" s="79">
        <f t="shared" si="0"/>
        <v>2.8879610299234519E-2</v>
      </c>
      <c r="H27" s="79">
        <f t="shared" si="0"/>
        <v>0.98506834910620411</v>
      </c>
      <c r="I27" s="79">
        <f t="shared" si="0"/>
        <v>0.98860813815883597</v>
      </c>
      <c r="J27" s="79">
        <f t="shared" si="0"/>
        <v>0.6124885215794309</v>
      </c>
      <c r="K27" s="79">
        <f t="shared" si="0"/>
        <v>0.10668143226282763</v>
      </c>
      <c r="L27" s="79">
        <f t="shared" si="0"/>
        <v>0.95779970606760434</v>
      </c>
      <c r="M27" s="79">
        <f t="shared" si="0"/>
        <v>0.95779970606760434</v>
      </c>
      <c r="N27" s="79">
        <f t="shared" si="0"/>
        <v>1.2049506569979827E-2</v>
      </c>
      <c r="O27" s="79">
        <f t="shared" si="0"/>
        <v>0.98335684485397823</v>
      </c>
      <c r="P27" s="79">
        <f t="shared" si="0"/>
        <v>0.98990499812016386</v>
      </c>
      <c r="Q27" s="79">
        <f t="shared" si="0"/>
        <v>0.63433476394849775</v>
      </c>
      <c r="R27" s="79">
        <f t="shared" si="0"/>
        <v>0.11788005338614542</v>
      </c>
      <c r="S27" s="79">
        <f t="shared" si="0"/>
        <v>0.95974807027513376</v>
      </c>
      <c r="T27" s="79">
        <f t="shared" si="0"/>
        <v>0.95974807027513376</v>
      </c>
      <c r="U27" s="79">
        <f t="shared" si="0"/>
        <v>1.3322884012539187E-2</v>
      </c>
      <c r="V27" s="79">
        <f t="shared" si="0"/>
        <v>0.98345683508663806</v>
      </c>
      <c r="X27" s="4" t="s">
        <v>116</v>
      </c>
    </row>
    <row r="28" spans="1:24" x14ac:dyDescent="0.25">
      <c r="B28" s="79">
        <f>SUMIFS(B8:B25,$X8:$X25,$X28)/B7</f>
        <v>1.8023184368983736E-3</v>
      </c>
      <c r="C28" s="79">
        <f t="shared" ref="C28:V28" si="1">SUMIFS(C8:C25,$X8:$X25,$X28)/C7</f>
        <v>2.5974025974025976E-2</v>
      </c>
      <c r="D28" s="79">
        <f t="shared" si="1"/>
        <v>0.72668810289389063</v>
      </c>
      <c r="E28" s="79">
        <f t="shared" si="1"/>
        <v>2.1791767554479417E-2</v>
      </c>
      <c r="F28" s="79">
        <f t="shared" si="1"/>
        <v>2.1791767554479417E-2</v>
      </c>
      <c r="G28" s="79">
        <f t="shared" si="1"/>
        <v>0.97042449547668752</v>
      </c>
      <c r="H28" s="79">
        <f t="shared" si="1"/>
        <v>1.4931650893796004E-2</v>
      </c>
      <c r="I28" s="79">
        <f t="shared" si="1"/>
        <v>3.9793489993107658E-3</v>
      </c>
      <c r="J28" s="79">
        <f t="shared" si="1"/>
        <v>3.1221303948576678E-2</v>
      </c>
      <c r="K28" s="79">
        <f t="shared" si="1"/>
        <v>0.79231266149870805</v>
      </c>
      <c r="L28" s="79">
        <f t="shared" si="1"/>
        <v>3.2699979004828891E-2</v>
      </c>
      <c r="M28" s="79">
        <f t="shared" si="1"/>
        <v>3.2699979004828891E-2</v>
      </c>
      <c r="N28" s="79">
        <f t="shared" si="1"/>
        <v>0.98195300147211173</v>
      </c>
      <c r="O28" s="79">
        <f t="shared" si="1"/>
        <v>1.4632169763183961E-2</v>
      </c>
      <c r="P28" s="79">
        <f t="shared" si="1"/>
        <v>3.6811124142149304E-3</v>
      </c>
      <c r="Q28" s="79">
        <f t="shared" si="1"/>
        <v>3.0901287553648068E-2</v>
      </c>
      <c r="R28" s="79">
        <f t="shared" si="1"/>
        <v>0.78791923192835922</v>
      </c>
      <c r="S28" s="79">
        <f t="shared" si="1"/>
        <v>3.1633281242600751E-2</v>
      </c>
      <c r="T28" s="79">
        <f t="shared" si="1"/>
        <v>3.1633281242600751E-2</v>
      </c>
      <c r="U28" s="79">
        <f t="shared" si="1"/>
        <v>0.98111538072605931</v>
      </c>
      <c r="V28" s="79">
        <f t="shared" si="1"/>
        <v>1.4624101752370815E-2</v>
      </c>
      <c r="X28" s="4" t="s">
        <v>115</v>
      </c>
    </row>
    <row r="29" spans="1:24" x14ac:dyDescent="0.25">
      <c r="B29" s="79">
        <f>SUMIFS(B8:B25,$X8:$X25,$X29)/B7</f>
        <v>1.2288534797034369E-4</v>
      </c>
      <c r="C29" s="79">
        <f t="shared" ref="C29:V29" si="2">SUMIFS(C8:C25,$X8:$X25,$X29)/C7</f>
        <v>0</v>
      </c>
      <c r="D29" s="79">
        <f t="shared" si="2"/>
        <v>0</v>
      </c>
      <c r="E29" s="79">
        <f t="shared" si="2"/>
        <v>0</v>
      </c>
      <c r="F29" s="79">
        <f t="shared" si="2"/>
        <v>0</v>
      </c>
      <c r="G29" s="79">
        <f t="shared" si="2"/>
        <v>0</v>
      </c>
      <c r="H29" s="79">
        <f t="shared" si="2"/>
        <v>0</v>
      </c>
      <c r="I29" s="79">
        <f t="shared" si="2"/>
        <v>2.0091811123971026E-3</v>
      </c>
      <c r="J29" s="79">
        <f t="shared" si="2"/>
        <v>2.7548209366391181E-3</v>
      </c>
      <c r="K29" s="79">
        <f t="shared" si="2"/>
        <v>5.5370985603543752E-4</v>
      </c>
      <c r="L29" s="79">
        <f t="shared" si="2"/>
        <v>9.9727062775561612E-4</v>
      </c>
      <c r="M29" s="79">
        <f t="shared" si="2"/>
        <v>9.9727062775561612E-4</v>
      </c>
      <c r="N29" s="79">
        <f t="shared" si="2"/>
        <v>5.997491957908511E-4</v>
      </c>
      <c r="O29" s="79">
        <f t="shared" si="2"/>
        <v>3.451691328751088E-4</v>
      </c>
      <c r="P29" s="79">
        <f t="shared" si="2"/>
        <v>1.7563844293434043E-3</v>
      </c>
      <c r="Q29" s="79">
        <f t="shared" si="2"/>
        <v>2.5751072961373387E-3</v>
      </c>
      <c r="R29" s="79">
        <f t="shared" si="2"/>
        <v>5.1664011710509316E-4</v>
      </c>
      <c r="S29" s="79">
        <f t="shared" si="2"/>
        <v>8.9974901737936263E-4</v>
      </c>
      <c r="T29" s="79">
        <f t="shared" si="2"/>
        <v>8.9974901737936263E-4</v>
      </c>
      <c r="U29" s="79">
        <f t="shared" si="2"/>
        <v>5.5617352614015572E-4</v>
      </c>
      <c r="V29" s="79">
        <f t="shared" si="2"/>
        <v>3.3618624718093824E-4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5.4098339337035253E-3</v>
      </c>
      <c r="J30" s="79">
        <f t="shared" si="3"/>
        <v>0.35353535353535354</v>
      </c>
      <c r="K30" s="79">
        <f t="shared" si="3"/>
        <v>0.10049833887043191</v>
      </c>
      <c r="L30" s="79">
        <f t="shared" si="3"/>
        <v>8.5030442998110436E-3</v>
      </c>
      <c r="M30" s="79">
        <f t="shared" si="3"/>
        <v>8.5030442998110436E-3</v>
      </c>
      <c r="N30" s="79">
        <f t="shared" si="3"/>
        <v>5.3704814350362569E-3</v>
      </c>
      <c r="O30" s="79">
        <f t="shared" si="3"/>
        <v>1.6658162499624816E-3</v>
      </c>
      <c r="P30" s="79">
        <f t="shared" si="3"/>
        <v>4.6687279399799109E-3</v>
      </c>
      <c r="Q30" s="79">
        <f t="shared" si="3"/>
        <v>0.33047210300429181</v>
      </c>
      <c r="R30" s="79">
        <f t="shared" si="3"/>
        <v>9.3770181254574425E-2</v>
      </c>
      <c r="S30" s="79">
        <f t="shared" si="3"/>
        <v>7.6715442534450919E-3</v>
      </c>
      <c r="T30" s="79">
        <f t="shared" si="3"/>
        <v>7.6715442534450919E-3</v>
      </c>
      <c r="U30" s="79">
        <f t="shared" si="3"/>
        <v>4.9802811204368485E-3</v>
      </c>
      <c r="V30" s="79">
        <f t="shared" si="3"/>
        <v>1.5548613932118394E-3</v>
      </c>
      <c r="X30" s="4" t="s">
        <v>113</v>
      </c>
    </row>
    <row r="64" spans="1:1" x14ac:dyDescent="0.25">
      <c r="A64" t="s">
        <v>188</v>
      </c>
    </row>
    <row r="65" spans="1:24" x14ac:dyDescent="0.25">
      <c r="A65" s="77" t="s">
        <v>189</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2.4413</v>
      </c>
      <c r="C69">
        <v>7.7000000000000002E-3</v>
      </c>
      <c r="D69">
        <v>0.1555</v>
      </c>
      <c r="E69">
        <v>0.20649999999999999</v>
      </c>
      <c r="F69">
        <v>0.20649999999999999</v>
      </c>
      <c r="G69">
        <v>0.28739999999999999</v>
      </c>
      <c r="H69">
        <v>0.47549999999999998</v>
      </c>
      <c r="I69">
        <v>15.3794</v>
      </c>
      <c r="J69" s="78">
        <v>0.1089</v>
      </c>
      <c r="K69" s="78">
        <v>2.1671999999999998</v>
      </c>
      <c r="L69">
        <v>1.9374</v>
      </c>
      <c r="M69" s="82">
        <v>1.9374</v>
      </c>
      <c r="N69" s="78">
        <v>3.6644999999999999</v>
      </c>
      <c r="O69" s="78">
        <v>6.6634000000000002</v>
      </c>
      <c r="P69">
        <v>17.820699999999999</v>
      </c>
      <c r="Q69" s="78">
        <v>0.11650000000000001</v>
      </c>
      <c r="R69" s="78">
        <v>2.3227000000000002</v>
      </c>
      <c r="S69">
        <v>2.1438999999999999</v>
      </c>
      <c r="T69" s="82">
        <v>2.1438999999999999</v>
      </c>
      <c r="U69" s="78">
        <v>3.9519000000000002</v>
      </c>
      <c r="V69" s="78">
        <v>7.1388999999999996</v>
      </c>
    </row>
    <row r="70" spans="1:24" x14ac:dyDescent="0.25">
      <c r="A70" s="4">
        <v>2102012000</v>
      </c>
      <c r="B70">
        <v>0</v>
      </c>
      <c r="C70">
        <v>0</v>
      </c>
      <c r="D70">
        <v>0</v>
      </c>
      <c r="E70">
        <v>0</v>
      </c>
      <c r="F70">
        <v>0</v>
      </c>
      <c r="G70">
        <v>0</v>
      </c>
      <c r="H70">
        <v>0</v>
      </c>
      <c r="I70">
        <v>6.1999999999999998E-3</v>
      </c>
      <c r="J70">
        <v>0</v>
      </c>
      <c r="K70">
        <v>2.6200000000000001E-2</v>
      </c>
      <c r="L70">
        <v>2.7000000000000001E-3</v>
      </c>
      <c r="M70">
        <v>2.7000000000000001E-3</v>
      </c>
      <c r="N70">
        <v>1.8599999999999998E-2</v>
      </c>
      <c r="O70">
        <v>5.0000000000000001E-4</v>
      </c>
      <c r="P70">
        <v>6.1999999999999998E-3</v>
      </c>
      <c r="Q70">
        <v>0</v>
      </c>
      <c r="R70">
        <v>2.6200000000000001E-2</v>
      </c>
      <c r="S70">
        <v>2.7000000000000001E-3</v>
      </c>
      <c r="T70">
        <v>2.7000000000000001E-3</v>
      </c>
      <c r="U70">
        <v>1.8599999999999998E-2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6.6E-3</v>
      </c>
      <c r="E72">
        <v>2.0000000000000001E-4</v>
      </c>
      <c r="F72">
        <v>2.0000000000000001E-4</v>
      </c>
      <c r="G72">
        <v>4.7000000000000002E-3</v>
      </c>
      <c r="H72">
        <v>2.9999999999999997E-4</v>
      </c>
      <c r="I72">
        <v>1.21E-2</v>
      </c>
      <c r="J72">
        <v>6.9999999999999999E-4</v>
      </c>
      <c r="K72">
        <v>0.48659999999999998</v>
      </c>
      <c r="L72">
        <v>1.23E-2</v>
      </c>
      <c r="M72">
        <v>1.23E-2</v>
      </c>
      <c r="N72">
        <v>0.39929999999999999</v>
      </c>
      <c r="O72">
        <v>1.9300000000000001E-2</v>
      </c>
      <c r="P72">
        <v>1.23E-2</v>
      </c>
      <c r="Q72">
        <v>6.9999999999999999E-4</v>
      </c>
      <c r="R72">
        <v>0.49320000000000003</v>
      </c>
      <c r="S72">
        <v>1.2500000000000001E-2</v>
      </c>
      <c r="T72">
        <v>1.2500000000000001E-2</v>
      </c>
      <c r="U72">
        <v>0.40400000000000003</v>
      </c>
      <c r="V72">
        <v>1.95E-2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2.6700000000000002E-2</v>
      </c>
      <c r="J75">
        <v>2.9999999999999997E-4</v>
      </c>
      <c r="K75">
        <v>1E-3</v>
      </c>
      <c r="L75">
        <v>1.6999999999999999E-3</v>
      </c>
      <c r="M75">
        <v>1.6999999999999999E-3</v>
      </c>
      <c r="N75">
        <v>1.9E-3</v>
      </c>
      <c r="O75">
        <v>2E-3</v>
      </c>
      <c r="P75">
        <v>2.6800000000000001E-2</v>
      </c>
      <c r="Q75">
        <v>2.9999999999999997E-4</v>
      </c>
      <c r="R75">
        <v>1E-3</v>
      </c>
      <c r="S75">
        <v>1.6999999999999999E-3</v>
      </c>
      <c r="T75">
        <v>1.6999999999999999E-3</v>
      </c>
      <c r="U75">
        <v>1.9E-3</v>
      </c>
      <c r="V75">
        <v>2.0999999999999999E-3</v>
      </c>
      <c r="W75" s="4" t="s">
        <v>122</v>
      </c>
      <c r="X75" s="4" t="s">
        <v>114</v>
      </c>
    </row>
    <row r="76" spans="1:24" x14ac:dyDescent="0.25">
      <c r="A76" s="4">
        <v>2104004000</v>
      </c>
      <c r="B76">
        <v>4.1999999999999997E-3</v>
      </c>
      <c r="C76">
        <v>2.0000000000000001E-4</v>
      </c>
      <c r="D76">
        <v>0.10639999999999999</v>
      </c>
      <c r="E76">
        <v>4.3E-3</v>
      </c>
      <c r="F76">
        <v>4.3E-3</v>
      </c>
      <c r="G76">
        <v>0.2742</v>
      </c>
      <c r="H76">
        <v>6.7999999999999996E-3</v>
      </c>
      <c r="I76">
        <v>4.9099999999999998E-2</v>
      </c>
      <c r="J76">
        <v>2.7000000000000001E-3</v>
      </c>
      <c r="K76">
        <v>1.2304999999999999</v>
      </c>
      <c r="L76">
        <v>0.05</v>
      </c>
      <c r="M76">
        <v>0.05</v>
      </c>
      <c r="N76">
        <v>3.2027000000000001</v>
      </c>
      <c r="O76">
        <v>7.8200000000000006E-2</v>
      </c>
      <c r="P76">
        <v>5.33E-2</v>
      </c>
      <c r="Q76">
        <v>2.8999999999999998E-3</v>
      </c>
      <c r="R76">
        <v>1.3369</v>
      </c>
      <c r="S76">
        <v>5.4300000000000001E-2</v>
      </c>
      <c r="T76">
        <v>5.4300000000000001E-2</v>
      </c>
      <c r="U76">
        <v>3.4769000000000001</v>
      </c>
      <c r="V76">
        <v>8.4900000000000003E-2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8.9099999999999999E-2</v>
      </c>
      <c r="C78">
        <v>5.9999999999999995E-4</v>
      </c>
      <c r="D78">
        <v>8.9999999999999998E-4</v>
      </c>
      <c r="E78">
        <v>1.2200000000000001E-2</v>
      </c>
      <c r="F78">
        <v>1.2200000000000001E-2</v>
      </c>
      <c r="G78">
        <v>1E-4</v>
      </c>
      <c r="H78">
        <v>8.0799999999999997E-2</v>
      </c>
      <c r="I78">
        <v>5.3318000000000003</v>
      </c>
      <c r="J78">
        <v>3.7999999999999999E-2</v>
      </c>
      <c r="K78">
        <v>5.4899999999999997E-2</v>
      </c>
      <c r="L78">
        <v>0.88149999999999995</v>
      </c>
      <c r="M78">
        <v>0.88149999999999995</v>
      </c>
      <c r="N78">
        <v>8.5000000000000006E-3</v>
      </c>
      <c r="O78">
        <v>4.8335999999999997</v>
      </c>
      <c r="P78">
        <v>5.4208999999999996</v>
      </c>
      <c r="Q78">
        <v>3.8600000000000002E-2</v>
      </c>
      <c r="R78">
        <v>5.5800000000000002E-2</v>
      </c>
      <c r="S78">
        <v>0.89370000000000005</v>
      </c>
      <c r="T78">
        <v>0.89370000000000005</v>
      </c>
      <c r="U78">
        <v>8.6E-3</v>
      </c>
      <c r="V78">
        <v>4.9143999999999997</v>
      </c>
      <c r="W78" s="4" t="s">
        <v>125</v>
      </c>
      <c r="X78" s="4" t="s">
        <v>116</v>
      </c>
    </row>
    <row r="79" spans="1:24" x14ac:dyDescent="0.25">
      <c r="A79" s="4">
        <v>2104008210</v>
      </c>
      <c r="B79">
        <v>6.6699999999999995E-2</v>
      </c>
      <c r="C79">
        <v>5.0000000000000001E-4</v>
      </c>
      <c r="D79">
        <v>8.0000000000000004E-4</v>
      </c>
      <c r="E79">
        <v>8.8000000000000005E-3</v>
      </c>
      <c r="F79">
        <v>8.8000000000000005E-3</v>
      </c>
      <c r="G79">
        <v>1E-4</v>
      </c>
      <c r="H79">
        <v>1.5299999999999999E-2</v>
      </c>
      <c r="I79">
        <v>0.27639999999999998</v>
      </c>
      <c r="J79">
        <v>2E-3</v>
      </c>
      <c r="K79">
        <v>3.3999999999999998E-3</v>
      </c>
      <c r="L79">
        <v>4.4400000000000002E-2</v>
      </c>
      <c r="M79">
        <v>4.4400000000000002E-2</v>
      </c>
      <c r="N79">
        <v>4.0000000000000002E-4</v>
      </c>
      <c r="O79">
        <v>6.3500000000000001E-2</v>
      </c>
      <c r="P79">
        <v>0.34310000000000002</v>
      </c>
      <c r="Q79">
        <v>2.5000000000000001E-3</v>
      </c>
      <c r="R79">
        <v>4.1999999999999997E-3</v>
      </c>
      <c r="S79">
        <v>5.3199999999999997E-2</v>
      </c>
      <c r="T79">
        <v>5.3199999999999997E-2</v>
      </c>
      <c r="U79">
        <v>5.9999999999999995E-4</v>
      </c>
      <c r="V79">
        <v>7.8799999999999995E-2</v>
      </c>
      <c r="W79" s="4" t="s">
        <v>126</v>
      </c>
      <c r="X79" s="4" t="s">
        <v>116</v>
      </c>
    </row>
    <row r="80" spans="1:24" x14ac:dyDescent="0.25">
      <c r="A80" s="4">
        <v>2104008220</v>
      </c>
      <c r="B80">
        <v>0.10920000000000001</v>
      </c>
      <c r="C80">
        <v>6.9999999999999999E-4</v>
      </c>
      <c r="D80">
        <v>1.6000000000000001E-3</v>
      </c>
      <c r="E80">
        <v>9.2999999999999992E-3</v>
      </c>
      <c r="F80">
        <v>9.2999999999999992E-3</v>
      </c>
      <c r="G80">
        <v>2.9999999999999997E-4</v>
      </c>
      <c r="H80">
        <v>9.2999999999999992E-3</v>
      </c>
      <c r="I80">
        <v>0.45219999999999999</v>
      </c>
      <c r="J80">
        <v>2.8999999999999998E-3</v>
      </c>
      <c r="K80">
        <v>6.4000000000000003E-3</v>
      </c>
      <c r="L80">
        <v>4.6199999999999998E-2</v>
      </c>
      <c r="M80">
        <v>4.6199999999999998E-2</v>
      </c>
      <c r="N80">
        <v>1.1999999999999999E-3</v>
      </c>
      <c r="O80">
        <v>3.85E-2</v>
      </c>
      <c r="P80">
        <v>0.56140000000000001</v>
      </c>
      <c r="Q80">
        <v>3.5999999999999999E-3</v>
      </c>
      <c r="R80">
        <v>8.0000000000000002E-3</v>
      </c>
      <c r="S80">
        <v>5.5599999999999997E-2</v>
      </c>
      <c r="T80">
        <v>5.5599999999999997E-2</v>
      </c>
      <c r="U80">
        <v>1.5E-3</v>
      </c>
      <c r="V80">
        <v>4.7800000000000002E-2</v>
      </c>
      <c r="W80" s="4" t="s">
        <v>127</v>
      </c>
      <c r="X80" s="4" t="s">
        <v>116</v>
      </c>
    </row>
    <row r="81" spans="1:24" x14ac:dyDescent="0.25">
      <c r="A81" s="4">
        <v>2104008230</v>
      </c>
      <c r="B81">
        <v>9.9199999999999997E-2</v>
      </c>
      <c r="C81">
        <v>8.0000000000000004E-4</v>
      </c>
      <c r="D81">
        <v>1.9E-3</v>
      </c>
      <c r="E81">
        <v>1.21E-2</v>
      </c>
      <c r="F81">
        <v>1.21E-2</v>
      </c>
      <c r="G81">
        <v>4.0000000000000002E-4</v>
      </c>
      <c r="H81">
        <v>1.3899999999999999E-2</v>
      </c>
      <c r="I81">
        <v>0.4108</v>
      </c>
      <c r="J81">
        <v>3.5000000000000001E-3</v>
      </c>
      <c r="K81">
        <v>7.7000000000000002E-3</v>
      </c>
      <c r="L81">
        <v>5.9900000000000002E-2</v>
      </c>
      <c r="M81">
        <v>5.9900000000000002E-2</v>
      </c>
      <c r="N81">
        <v>1.4E-3</v>
      </c>
      <c r="O81">
        <v>5.7599999999999998E-2</v>
      </c>
      <c r="P81">
        <v>0.51</v>
      </c>
      <c r="Q81">
        <v>4.3E-3</v>
      </c>
      <c r="R81">
        <v>9.4999999999999998E-3</v>
      </c>
      <c r="S81">
        <v>7.1900000000000006E-2</v>
      </c>
      <c r="T81">
        <v>7.1900000000000006E-2</v>
      </c>
      <c r="U81">
        <v>1.8E-3</v>
      </c>
      <c r="V81">
        <v>7.1499999999999994E-2</v>
      </c>
      <c r="W81" s="4" t="s">
        <v>128</v>
      </c>
      <c r="X81" s="4" t="s">
        <v>116</v>
      </c>
    </row>
    <row r="82" spans="1:24" x14ac:dyDescent="0.25">
      <c r="A82" s="4">
        <v>2104008310</v>
      </c>
      <c r="B82">
        <v>0.28670000000000001</v>
      </c>
      <c r="C82">
        <v>8.9999999999999998E-4</v>
      </c>
      <c r="D82">
        <v>3.3999999999999998E-3</v>
      </c>
      <c r="E82">
        <v>2.87E-2</v>
      </c>
      <c r="F82">
        <v>2.87E-2</v>
      </c>
      <c r="G82">
        <v>8.9999999999999998E-4</v>
      </c>
      <c r="H82">
        <v>0.12540000000000001</v>
      </c>
      <c r="I82">
        <v>1.1871</v>
      </c>
      <c r="J82">
        <v>3.8999999999999998E-3</v>
      </c>
      <c r="K82">
        <v>1.4200000000000001E-2</v>
      </c>
      <c r="L82">
        <v>0.14399999999999999</v>
      </c>
      <c r="M82">
        <v>0.14399999999999999</v>
      </c>
      <c r="N82">
        <v>3.5000000000000001E-3</v>
      </c>
      <c r="O82">
        <v>0.51919999999999999</v>
      </c>
      <c r="P82">
        <v>1.4738</v>
      </c>
      <c r="Q82">
        <v>4.7999999999999996E-3</v>
      </c>
      <c r="R82">
        <v>1.77E-2</v>
      </c>
      <c r="S82">
        <v>0.17280000000000001</v>
      </c>
      <c r="T82">
        <v>0.17280000000000001</v>
      </c>
      <c r="U82">
        <v>4.4000000000000003E-3</v>
      </c>
      <c r="V82">
        <v>0.64459999999999995</v>
      </c>
      <c r="W82" s="4" t="s">
        <v>129</v>
      </c>
      <c r="X82" s="4" t="s">
        <v>116</v>
      </c>
    </row>
    <row r="83" spans="1:24" x14ac:dyDescent="0.25">
      <c r="A83" s="4">
        <v>2104008320</v>
      </c>
      <c r="B83">
        <v>0.78459999999999996</v>
      </c>
      <c r="C83">
        <v>1.6000000000000001E-3</v>
      </c>
      <c r="D83">
        <v>1.0200000000000001E-2</v>
      </c>
      <c r="E83">
        <v>5.0299999999999997E-2</v>
      </c>
      <c r="F83">
        <v>5.0299999999999997E-2</v>
      </c>
      <c r="G83">
        <v>2.5000000000000001E-3</v>
      </c>
      <c r="H83">
        <v>7.6100000000000001E-2</v>
      </c>
      <c r="I83">
        <v>3.2484999999999999</v>
      </c>
      <c r="J83">
        <v>6.6E-3</v>
      </c>
      <c r="K83">
        <v>4.2299999999999997E-2</v>
      </c>
      <c r="L83">
        <v>0.24990000000000001</v>
      </c>
      <c r="M83">
        <v>0.24990000000000001</v>
      </c>
      <c r="N83">
        <v>9.4999999999999998E-3</v>
      </c>
      <c r="O83">
        <v>0.31530000000000002</v>
      </c>
      <c r="P83">
        <v>4.0331000000000001</v>
      </c>
      <c r="Q83">
        <v>8.0999999999999996E-3</v>
      </c>
      <c r="R83">
        <v>5.2499999999999998E-2</v>
      </c>
      <c r="S83">
        <v>0.30020000000000002</v>
      </c>
      <c r="T83">
        <v>0.30020000000000002</v>
      </c>
      <c r="U83">
        <v>1.21E-2</v>
      </c>
      <c r="V83">
        <v>0.39140000000000003</v>
      </c>
      <c r="W83" s="4" t="s">
        <v>130</v>
      </c>
      <c r="X83" s="4" t="s">
        <v>116</v>
      </c>
    </row>
    <row r="84" spans="1:24" x14ac:dyDescent="0.25">
      <c r="A84" s="4">
        <v>2104008330</v>
      </c>
      <c r="B84">
        <v>0.93789999999999996</v>
      </c>
      <c r="C84">
        <v>1.9E-3</v>
      </c>
      <c r="D84">
        <v>1.2200000000000001E-2</v>
      </c>
      <c r="E84">
        <v>6.6699999999999995E-2</v>
      </c>
      <c r="F84">
        <v>6.6699999999999995E-2</v>
      </c>
      <c r="G84">
        <v>3.0000000000000001E-3</v>
      </c>
      <c r="H84">
        <v>0.1138</v>
      </c>
      <c r="I84">
        <v>3.8833000000000002</v>
      </c>
      <c r="J84">
        <v>7.7999999999999996E-3</v>
      </c>
      <c r="K84">
        <v>5.0500000000000003E-2</v>
      </c>
      <c r="L84">
        <v>0.33150000000000002</v>
      </c>
      <c r="M84">
        <v>0.33150000000000002</v>
      </c>
      <c r="N84">
        <v>1.1299999999999999E-2</v>
      </c>
      <c r="O84">
        <v>0.47110000000000002</v>
      </c>
      <c r="P84">
        <v>4.8212000000000002</v>
      </c>
      <c r="Q84">
        <v>9.7000000000000003E-3</v>
      </c>
      <c r="R84">
        <v>6.2700000000000006E-2</v>
      </c>
      <c r="S84">
        <v>0.3982</v>
      </c>
      <c r="T84">
        <v>0.3982</v>
      </c>
      <c r="U84">
        <v>1.44E-2</v>
      </c>
      <c r="V84">
        <v>0.58489999999999998</v>
      </c>
      <c r="W84" s="4" t="s">
        <v>131</v>
      </c>
      <c r="X84" s="4" t="s">
        <v>116</v>
      </c>
    </row>
    <row r="85" spans="1:24" x14ac:dyDescent="0.25">
      <c r="A85" s="4">
        <v>2104008410</v>
      </c>
      <c r="B85">
        <v>3.8E-3</v>
      </c>
      <c r="C85">
        <v>0</v>
      </c>
      <c r="D85">
        <v>1.5E-3</v>
      </c>
      <c r="E85">
        <v>1.1000000000000001E-3</v>
      </c>
      <c r="F85">
        <v>1.1000000000000001E-3</v>
      </c>
      <c r="G85">
        <v>1E-4</v>
      </c>
      <c r="H85">
        <v>8.9999999999999998E-4</v>
      </c>
      <c r="I85">
        <v>1.5699999999999999E-2</v>
      </c>
      <c r="J85">
        <v>1E-4</v>
      </c>
      <c r="K85">
        <v>6.3E-3</v>
      </c>
      <c r="L85">
        <v>5.7000000000000002E-3</v>
      </c>
      <c r="M85">
        <v>5.7000000000000002E-3</v>
      </c>
      <c r="N85">
        <v>4.0000000000000002E-4</v>
      </c>
      <c r="O85">
        <v>3.5999999999999999E-3</v>
      </c>
      <c r="P85">
        <v>1.95E-2</v>
      </c>
      <c r="Q85">
        <v>1E-4</v>
      </c>
      <c r="R85">
        <v>7.9000000000000008E-3</v>
      </c>
      <c r="S85">
        <v>6.7999999999999996E-3</v>
      </c>
      <c r="T85">
        <v>6.7999999999999996E-3</v>
      </c>
      <c r="U85">
        <v>5.9999999999999995E-4</v>
      </c>
      <c r="V85">
        <v>4.4999999999999997E-3</v>
      </c>
      <c r="W85" s="4" t="s">
        <v>132</v>
      </c>
      <c r="X85" s="4" t="s">
        <v>116</v>
      </c>
    </row>
    <row r="86" spans="1:24" x14ac:dyDescent="0.25">
      <c r="A86" s="4">
        <v>2104008420</v>
      </c>
      <c r="B86">
        <v>2.24E-2</v>
      </c>
      <c r="C86">
        <v>2.0000000000000001E-4</v>
      </c>
      <c r="D86">
        <v>8.9999999999999993E-3</v>
      </c>
      <c r="E86">
        <v>6.7000000000000002E-3</v>
      </c>
      <c r="F86">
        <v>6.7000000000000002E-3</v>
      </c>
      <c r="G86">
        <v>6.9999999999999999E-4</v>
      </c>
      <c r="H86">
        <v>5.1999999999999998E-3</v>
      </c>
      <c r="I86">
        <v>9.2700000000000005E-2</v>
      </c>
      <c r="J86">
        <v>6.9999999999999999E-4</v>
      </c>
      <c r="K86">
        <v>3.7400000000000003E-2</v>
      </c>
      <c r="L86">
        <v>3.3399999999999999E-2</v>
      </c>
      <c r="M86">
        <v>3.3399999999999999E-2</v>
      </c>
      <c r="N86">
        <v>2.3E-3</v>
      </c>
      <c r="O86">
        <v>2.1399999999999999E-2</v>
      </c>
      <c r="P86">
        <v>0.11509999999999999</v>
      </c>
      <c r="Q86">
        <v>8.0000000000000004E-4</v>
      </c>
      <c r="R86">
        <v>4.6399999999999997E-2</v>
      </c>
      <c r="S86">
        <v>4.0099999999999997E-2</v>
      </c>
      <c r="T86">
        <v>4.0099999999999997E-2</v>
      </c>
      <c r="U86">
        <v>3.0999999999999999E-3</v>
      </c>
      <c r="V86">
        <v>2.6599999999999999E-2</v>
      </c>
      <c r="W86" s="4" t="s">
        <v>133</v>
      </c>
      <c r="X86" s="4" t="s">
        <v>116</v>
      </c>
    </row>
    <row r="87" spans="1:24" x14ac:dyDescent="0.25">
      <c r="A87" s="4">
        <v>2104008610</v>
      </c>
      <c r="B87">
        <v>3.6799999999999999E-2</v>
      </c>
      <c r="C87">
        <v>1E-4</v>
      </c>
      <c r="D87">
        <v>1E-3</v>
      </c>
      <c r="E87">
        <v>6.0000000000000001E-3</v>
      </c>
      <c r="F87">
        <v>6.0000000000000001E-3</v>
      </c>
      <c r="G87">
        <v>2.0000000000000001E-4</v>
      </c>
      <c r="H87">
        <v>2.75E-2</v>
      </c>
      <c r="I87">
        <v>0.3039</v>
      </c>
      <c r="J87">
        <v>1.1999999999999999E-3</v>
      </c>
      <c r="K87">
        <v>8.0999999999999996E-3</v>
      </c>
      <c r="L87">
        <v>6.0100000000000001E-2</v>
      </c>
      <c r="M87">
        <v>6.0100000000000001E-2</v>
      </c>
      <c r="N87">
        <v>1.8E-3</v>
      </c>
      <c r="O87">
        <v>0.2278</v>
      </c>
      <c r="P87">
        <v>0.34060000000000001</v>
      </c>
      <c r="Q87">
        <v>1.4E-3</v>
      </c>
      <c r="R87">
        <v>9.1000000000000004E-3</v>
      </c>
      <c r="S87">
        <v>6.6100000000000006E-2</v>
      </c>
      <c r="T87">
        <v>6.6100000000000006E-2</v>
      </c>
      <c r="U87">
        <v>2.0999999999999999E-3</v>
      </c>
      <c r="V87">
        <v>0.25530000000000003</v>
      </c>
      <c r="W87" s="4" t="s">
        <v>134</v>
      </c>
      <c r="X87" s="4" t="s">
        <v>116</v>
      </c>
    </row>
    <row r="89" spans="1:24" x14ac:dyDescent="0.25">
      <c r="B89" s="80">
        <f>SUMIFS(B70:B87,$X70:$X87,$X89)/B69</f>
        <v>0.99811575799778807</v>
      </c>
      <c r="C89" s="80">
        <f t="shared" ref="C89:V89" si="4">SUMIFS(C70:C87,$X70:$X87,$X89)/C69</f>
        <v>0.94805194805194792</v>
      </c>
      <c r="D89" s="80">
        <f t="shared" si="4"/>
        <v>0.27331189710610937</v>
      </c>
      <c r="E89" s="80">
        <f t="shared" si="4"/>
        <v>0.97772397094430996</v>
      </c>
      <c r="F89" s="80">
        <f t="shared" si="4"/>
        <v>0.97772397094430996</v>
      </c>
      <c r="G89" s="80">
        <f t="shared" si="4"/>
        <v>2.8879610299234519E-2</v>
      </c>
      <c r="H89" s="80">
        <f t="shared" si="4"/>
        <v>0.98506834910620411</v>
      </c>
      <c r="I89" s="80">
        <f t="shared" si="4"/>
        <v>0.98860813815883597</v>
      </c>
      <c r="J89" s="81">
        <f t="shared" si="4"/>
        <v>0.6124885215794309</v>
      </c>
      <c r="K89" s="81">
        <f t="shared" si="4"/>
        <v>0.10668143226282763</v>
      </c>
      <c r="L89" s="80">
        <f t="shared" si="4"/>
        <v>0.95844946835965728</v>
      </c>
      <c r="M89" s="81">
        <f t="shared" si="4"/>
        <v>0.95844946835965728</v>
      </c>
      <c r="N89" s="81">
        <f t="shared" si="4"/>
        <v>1.0997407559012143E-2</v>
      </c>
      <c r="O89" s="81">
        <f t="shared" si="4"/>
        <v>0.98335684485397823</v>
      </c>
      <c r="P89" s="80">
        <f t="shared" si="4"/>
        <v>0.98990499812016386</v>
      </c>
      <c r="Q89" s="81">
        <f t="shared" si="4"/>
        <v>0.63433476394849775</v>
      </c>
      <c r="R89" s="81">
        <f t="shared" si="4"/>
        <v>0.11788005338614542</v>
      </c>
      <c r="S89" s="80">
        <f t="shared" si="4"/>
        <v>0.96035262838751834</v>
      </c>
      <c r="T89" s="81">
        <f t="shared" si="4"/>
        <v>0.96035262838751834</v>
      </c>
      <c r="U89" s="81">
        <f t="shared" si="4"/>
        <v>1.2449707735519622E-2</v>
      </c>
      <c r="V89" s="81">
        <f t="shared" si="4"/>
        <v>0.98345683508663806</v>
      </c>
      <c r="X89" s="4" t="s">
        <v>116</v>
      </c>
    </row>
    <row r="90" spans="1:24" x14ac:dyDescent="0.25">
      <c r="B90" s="80">
        <f>SUMIFS(B70:B87,$X70:$X87,$X90)/B69</f>
        <v>1.8023184368983736E-3</v>
      </c>
      <c r="C90" s="80">
        <f t="shared" ref="C90:V90" si="5">SUMIFS(C70:C87,$X70:$X87,$X90)/C69</f>
        <v>2.5974025974025976E-2</v>
      </c>
      <c r="D90" s="80">
        <f t="shared" si="5"/>
        <v>0.72668810289389063</v>
      </c>
      <c r="E90" s="80">
        <f t="shared" si="5"/>
        <v>2.1791767554479417E-2</v>
      </c>
      <c r="F90" s="80">
        <f t="shared" si="5"/>
        <v>2.1791767554479417E-2</v>
      </c>
      <c r="G90" s="80">
        <f t="shared" si="5"/>
        <v>0.97042449547668752</v>
      </c>
      <c r="H90" s="80">
        <f t="shared" si="5"/>
        <v>1.4931650893796004E-2</v>
      </c>
      <c r="I90" s="80">
        <f t="shared" si="5"/>
        <v>3.9793489993107658E-3</v>
      </c>
      <c r="J90" s="81">
        <f t="shared" si="5"/>
        <v>3.1221303948576678E-2</v>
      </c>
      <c r="K90" s="81">
        <f t="shared" si="5"/>
        <v>0.79231266149870805</v>
      </c>
      <c r="L90" s="80">
        <f t="shared" si="5"/>
        <v>3.2156498399917417E-2</v>
      </c>
      <c r="M90" s="81">
        <f t="shared" si="5"/>
        <v>3.2156498399917417E-2</v>
      </c>
      <c r="N90" s="81">
        <f t="shared" si="5"/>
        <v>0.98294446718515494</v>
      </c>
      <c r="O90" s="81">
        <f t="shared" si="5"/>
        <v>1.4632169763183961E-2</v>
      </c>
      <c r="P90" s="80">
        <f t="shared" si="5"/>
        <v>3.6811124142149304E-3</v>
      </c>
      <c r="Q90" s="81">
        <f t="shared" si="5"/>
        <v>3.0901287553648068E-2</v>
      </c>
      <c r="R90" s="81">
        <f t="shared" si="5"/>
        <v>0.78791923192835922</v>
      </c>
      <c r="S90" s="80">
        <f t="shared" si="5"/>
        <v>3.1158169690750501E-2</v>
      </c>
      <c r="T90" s="81">
        <f t="shared" si="5"/>
        <v>3.1158169690750501E-2</v>
      </c>
      <c r="U90" s="81">
        <f t="shared" si="5"/>
        <v>0.98203395834914842</v>
      </c>
      <c r="V90" s="81">
        <f t="shared" si="5"/>
        <v>1.4624101752370815E-2</v>
      </c>
      <c r="X90" s="4" t="s">
        <v>115</v>
      </c>
    </row>
    <row r="91" spans="1:24" x14ac:dyDescent="0.25">
      <c r="B91" s="80">
        <f>SUMIFS(B70:B87,$X70:$X87,$X91)/B69</f>
        <v>1.2288534797034369E-4</v>
      </c>
      <c r="C91" s="80">
        <f t="shared" ref="C91:V91" si="6">SUMIFS(C70:C87,$X70:$X87,$X91)/C69</f>
        <v>0</v>
      </c>
      <c r="D91" s="80">
        <f t="shared" si="6"/>
        <v>0</v>
      </c>
      <c r="E91" s="80">
        <f t="shared" si="6"/>
        <v>0</v>
      </c>
      <c r="F91" s="80">
        <f t="shared" si="6"/>
        <v>0</v>
      </c>
      <c r="G91" s="80">
        <f t="shared" si="6"/>
        <v>0</v>
      </c>
      <c r="H91" s="80">
        <f t="shared" si="6"/>
        <v>0</v>
      </c>
      <c r="I91" s="80">
        <f t="shared" si="6"/>
        <v>2.0091811123971026E-3</v>
      </c>
      <c r="J91" s="81">
        <f t="shared" si="6"/>
        <v>2.7548209366391181E-3</v>
      </c>
      <c r="K91" s="81">
        <f t="shared" si="6"/>
        <v>5.5370985603543752E-4</v>
      </c>
      <c r="L91" s="80">
        <f t="shared" si="6"/>
        <v>1.0323113451016826E-3</v>
      </c>
      <c r="M91" s="81">
        <f t="shared" si="6"/>
        <v>1.0323113451016826E-3</v>
      </c>
      <c r="N91" s="81">
        <f t="shared" si="6"/>
        <v>6.0035475508254889E-4</v>
      </c>
      <c r="O91" s="81">
        <f t="shared" si="6"/>
        <v>3.451691328751088E-4</v>
      </c>
      <c r="P91" s="80">
        <f t="shared" si="6"/>
        <v>1.7563844293434043E-3</v>
      </c>
      <c r="Q91" s="81">
        <f t="shared" si="6"/>
        <v>2.5751072961373387E-3</v>
      </c>
      <c r="R91" s="81">
        <f t="shared" si="6"/>
        <v>5.1664011710509316E-4</v>
      </c>
      <c r="S91" s="80">
        <f t="shared" si="6"/>
        <v>9.3287933205839831E-4</v>
      </c>
      <c r="T91" s="81">
        <f t="shared" si="6"/>
        <v>9.3287933205839831E-4</v>
      </c>
      <c r="U91" s="81">
        <f t="shared" si="6"/>
        <v>5.5669424833624333E-4</v>
      </c>
      <c r="V91" s="81">
        <f t="shared" si="6"/>
        <v>3.3618624718093824E-4</v>
      </c>
      <c r="X91" s="4" t="s">
        <v>114</v>
      </c>
    </row>
    <row r="92" spans="1:24" x14ac:dyDescent="0.25">
      <c r="B92" s="80">
        <f>SUMIFS(B70:B87,$X70:$X87,$X92)/B69</f>
        <v>0</v>
      </c>
      <c r="C92" s="80">
        <f t="shared" ref="C92:V92" si="7">SUMIFS(C70:C87,$X70:$X87,$X92)/C69</f>
        <v>0</v>
      </c>
      <c r="D92" s="80">
        <f t="shared" si="7"/>
        <v>0</v>
      </c>
      <c r="E92" s="80">
        <f t="shared" si="7"/>
        <v>0</v>
      </c>
      <c r="F92" s="80">
        <f t="shared" si="7"/>
        <v>0</v>
      </c>
      <c r="G92" s="80">
        <f t="shared" si="7"/>
        <v>0</v>
      </c>
      <c r="H92" s="80">
        <f t="shared" si="7"/>
        <v>0</v>
      </c>
      <c r="I92" s="80">
        <f t="shared" si="7"/>
        <v>5.4098339337035253E-3</v>
      </c>
      <c r="J92" s="81">
        <f t="shared" si="7"/>
        <v>0.35353535353535354</v>
      </c>
      <c r="K92" s="81">
        <f t="shared" si="7"/>
        <v>0.10049833887043191</v>
      </c>
      <c r="L92" s="80">
        <f t="shared" si="7"/>
        <v>8.4133374625787131E-3</v>
      </c>
      <c r="M92" s="81">
        <f t="shared" si="7"/>
        <v>8.4133374625787131E-3</v>
      </c>
      <c r="N92" s="81">
        <f t="shared" si="7"/>
        <v>5.4031927957429388E-3</v>
      </c>
      <c r="O92" s="81">
        <f t="shared" si="7"/>
        <v>1.6658162499624816E-3</v>
      </c>
      <c r="P92" s="80">
        <f t="shared" si="7"/>
        <v>4.6687279399799109E-3</v>
      </c>
      <c r="Q92" s="81">
        <f t="shared" si="7"/>
        <v>0.33047210300429181</v>
      </c>
      <c r="R92" s="81">
        <f t="shared" si="7"/>
        <v>9.3770181254574425E-2</v>
      </c>
      <c r="S92" s="80">
        <f t="shared" si="7"/>
        <v>7.6029665562759455E-3</v>
      </c>
      <c r="T92" s="81">
        <f t="shared" si="7"/>
        <v>7.6029665562759455E-3</v>
      </c>
      <c r="U92" s="81">
        <f t="shared" si="7"/>
        <v>5.0102482350261896E-3</v>
      </c>
      <c r="V92" s="81">
        <f t="shared" si="7"/>
        <v>1.5548613932118394E-3</v>
      </c>
      <c r="X92" s="4" t="s">
        <v>113</v>
      </c>
    </row>
  </sheetData>
  <sheetProtection algorithmName="SHA-512" hashValue="ve1mrUsN/qpuzmyOp6jkzkCw1GpJwLRyShLoJJBt/IiVecC8s4udoTQ+IS51pRlLEPDyPrKgFIoCRoeKH5/dQQ==" saltValue="EceNgTVF4ZyDlLk3sfZf3g==" spinCount="100000" sheet="1" objects="1" scenarios="1"/>
  <mergeCells count="6">
    <mergeCell ref="B67:H67"/>
    <mergeCell ref="I67:O67"/>
    <mergeCell ref="P67:V67"/>
    <mergeCell ref="B5:H5"/>
    <mergeCell ref="I5:O5"/>
    <mergeCell ref="P5:V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1FE3-BBFF-4EDC-8AC1-4723E88407F8}">
  <sheetPr codeName="Sheet23"/>
  <dimension ref="A2:X92"/>
  <sheetViews>
    <sheetView workbookViewId="0"/>
  </sheetViews>
  <sheetFormatPr defaultRowHeight="15" x14ac:dyDescent="0.25"/>
  <cols>
    <col min="1" max="1" width="13" customWidth="1"/>
    <col min="23" max="23" width="11.85546875" customWidth="1"/>
  </cols>
  <sheetData>
    <row r="2" spans="1:24" x14ac:dyDescent="0.25">
      <c r="A2" t="s">
        <v>190</v>
      </c>
    </row>
    <row r="3" spans="1:24" x14ac:dyDescent="0.25">
      <c r="A3" s="77" t="s">
        <v>191</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2.4142999999999999</v>
      </c>
      <c r="C7">
        <v>7.6E-3</v>
      </c>
      <c r="D7">
        <v>0.1595</v>
      </c>
      <c r="E7">
        <v>0.2039</v>
      </c>
      <c r="F7">
        <v>0.2039</v>
      </c>
      <c r="G7">
        <v>0.2984</v>
      </c>
      <c r="H7">
        <v>0.46429999999999999</v>
      </c>
      <c r="I7">
        <v>15.215400000000001</v>
      </c>
      <c r="J7">
        <v>0.1081</v>
      </c>
      <c r="K7">
        <v>2.2225999999999999</v>
      </c>
      <c r="L7">
        <v>1.7679</v>
      </c>
      <c r="M7">
        <v>1.7679</v>
      </c>
      <c r="N7">
        <v>3.7526999999999999</v>
      </c>
      <c r="O7">
        <v>6.5715000000000003</v>
      </c>
      <c r="P7">
        <v>17.6297</v>
      </c>
      <c r="Q7">
        <v>0.1157</v>
      </c>
      <c r="R7">
        <v>2.3820999999999999</v>
      </c>
      <c r="S7">
        <v>1.9718</v>
      </c>
      <c r="T7">
        <v>1.9718</v>
      </c>
      <c r="U7">
        <v>4.0510000000000002</v>
      </c>
      <c r="V7">
        <v>7.0358000000000001</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6.7000000000000002E-3</v>
      </c>
      <c r="E10">
        <v>2.0000000000000001E-4</v>
      </c>
      <c r="F10">
        <v>2.0000000000000001E-4</v>
      </c>
      <c r="G10">
        <v>4.7000000000000002E-3</v>
      </c>
      <c r="H10">
        <v>2.9999999999999997E-4</v>
      </c>
      <c r="I10">
        <v>1.26E-2</v>
      </c>
      <c r="J10">
        <v>6.9999999999999999E-4</v>
      </c>
      <c r="K10">
        <v>0.505</v>
      </c>
      <c r="L10">
        <v>1.2800000000000001E-2</v>
      </c>
      <c r="M10">
        <v>1.2800000000000001E-2</v>
      </c>
      <c r="N10">
        <v>0.39129999999999998</v>
      </c>
      <c r="O10">
        <v>0.02</v>
      </c>
      <c r="P10">
        <v>1.2699999999999999E-2</v>
      </c>
      <c r="Q10">
        <v>6.9999999999999999E-4</v>
      </c>
      <c r="R10">
        <v>0.51170000000000004</v>
      </c>
      <c r="S10">
        <v>1.2999999999999999E-2</v>
      </c>
      <c r="T10">
        <v>1.2999999999999999E-2</v>
      </c>
      <c r="U10">
        <v>0.39600000000000002</v>
      </c>
      <c r="V10">
        <v>2.0299999999999999E-2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2.7400000000000001E-2</v>
      </c>
      <c r="J13">
        <v>2.9999999999999997E-4</v>
      </c>
      <c r="K13">
        <v>1E-3</v>
      </c>
      <c r="L13">
        <v>1.6999999999999999E-3</v>
      </c>
      <c r="M13">
        <v>1.6999999999999999E-3</v>
      </c>
      <c r="N13">
        <v>2E-3</v>
      </c>
      <c r="O13">
        <v>2.0999999999999999E-3</v>
      </c>
      <c r="P13">
        <v>2.75E-2</v>
      </c>
      <c r="Q13">
        <v>2.9999999999999997E-4</v>
      </c>
      <c r="R13">
        <v>1E-3</v>
      </c>
      <c r="S13">
        <v>1.6999999999999999E-3</v>
      </c>
      <c r="T13">
        <v>1.6999999999999999E-3</v>
      </c>
      <c r="U13">
        <v>2E-3</v>
      </c>
      <c r="V13">
        <v>2.0999999999999999E-3</v>
      </c>
      <c r="W13" s="4" t="s">
        <v>122</v>
      </c>
      <c r="X13" s="4" t="s">
        <v>114</v>
      </c>
    </row>
    <row r="14" spans="1:24" x14ac:dyDescent="0.25">
      <c r="A14" s="4">
        <v>2104004000</v>
      </c>
      <c r="B14">
        <v>4.4000000000000003E-3</v>
      </c>
      <c r="C14">
        <v>2.0000000000000001E-4</v>
      </c>
      <c r="D14">
        <v>0.11070000000000001</v>
      </c>
      <c r="E14">
        <v>4.4999999999999997E-3</v>
      </c>
      <c r="F14">
        <v>4.4999999999999997E-3</v>
      </c>
      <c r="G14">
        <v>0.28510000000000002</v>
      </c>
      <c r="H14">
        <v>7.0000000000000001E-3</v>
      </c>
      <c r="I14">
        <v>5.0700000000000002E-2</v>
      </c>
      <c r="J14">
        <v>2.8E-3</v>
      </c>
      <c r="K14">
        <v>1.2697000000000001</v>
      </c>
      <c r="L14">
        <v>5.16E-2</v>
      </c>
      <c r="M14">
        <v>5.16E-2</v>
      </c>
      <c r="N14">
        <v>3.2957000000000001</v>
      </c>
      <c r="O14">
        <v>8.0699999999999994E-2</v>
      </c>
      <c r="P14">
        <v>5.5100000000000003E-2</v>
      </c>
      <c r="Q14">
        <v>3.0000000000000001E-3</v>
      </c>
      <c r="R14">
        <v>1.3804000000000001</v>
      </c>
      <c r="S14">
        <v>5.6099999999999997E-2</v>
      </c>
      <c r="T14">
        <v>5.6099999999999997E-2</v>
      </c>
      <c r="U14">
        <v>3.5808</v>
      </c>
      <c r="V14">
        <v>8.77E-2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8.8200000000000001E-2</v>
      </c>
      <c r="C16">
        <v>5.9999999999999995E-4</v>
      </c>
      <c r="D16">
        <v>8.9999999999999998E-4</v>
      </c>
      <c r="E16">
        <v>1.21E-2</v>
      </c>
      <c r="F16">
        <v>1.21E-2</v>
      </c>
      <c r="G16">
        <v>1E-4</v>
      </c>
      <c r="H16">
        <v>7.9899999999999999E-2</v>
      </c>
      <c r="I16">
        <v>5.2770999999999999</v>
      </c>
      <c r="J16">
        <v>3.7600000000000001E-2</v>
      </c>
      <c r="K16">
        <v>5.4300000000000001E-2</v>
      </c>
      <c r="L16">
        <v>0.80049999999999999</v>
      </c>
      <c r="M16">
        <v>0.80049999999999999</v>
      </c>
      <c r="N16">
        <v>8.3999999999999995E-3</v>
      </c>
      <c r="O16">
        <v>4.7839999999999998</v>
      </c>
      <c r="P16">
        <v>5.3653000000000004</v>
      </c>
      <c r="Q16">
        <v>3.8199999999999998E-2</v>
      </c>
      <c r="R16">
        <v>5.5199999999999999E-2</v>
      </c>
      <c r="S16">
        <v>0.81259999999999999</v>
      </c>
      <c r="T16">
        <v>0.81259999999999999</v>
      </c>
      <c r="U16">
        <v>8.5000000000000006E-3</v>
      </c>
      <c r="V16">
        <v>4.8639999999999999</v>
      </c>
      <c r="W16" s="4" t="s">
        <v>125</v>
      </c>
      <c r="X16" s="4" t="s">
        <v>116</v>
      </c>
    </row>
    <row r="17" spans="1:24" x14ac:dyDescent="0.25">
      <c r="A17" s="4">
        <v>2104008210</v>
      </c>
      <c r="B17">
        <v>6.1199999999999997E-2</v>
      </c>
      <c r="C17">
        <v>5.0000000000000001E-4</v>
      </c>
      <c r="D17">
        <v>6.9999999999999999E-4</v>
      </c>
      <c r="E17">
        <v>8.0999999999999996E-3</v>
      </c>
      <c r="F17">
        <v>8.0999999999999996E-3</v>
      </c>
      <c r="G17">
        <v>1E-4</v>
      </c>
      <c r="H17">
        <v>1.41E-2</v>
      </c>
      <c r="I17">
        <v>0.25359999999999999</v>
      </c>
      <c r="J17">
        <v>1.9E-3</v>
      </c>
      <c r="K17">
        <v>3.0999999999999999E-3</v>
      </c>
      <c r="L17">
        <v>3.7199999999999997E-2</v>
      </c>
      <c r="M17">
        <v>3.7199999999999997E-2</v>
      </c>
      <c r="N17">
        <v>4.0000000000000002E-4</v>
      </c>
      <c r="O17">
        <v>5.8200000000000002E-2</v>
      </c>
      <c r="P17">
        <v>0.31480000000000002</v>
      </c>
      <c r="Q17">
        <v>2.3E-3</v>
      </c>
      <c r="R17">
        <v>3.8E-3</v>
      </c>
      <c r="S17">
        <v>4.53E-2</v>
      </c>
      <c r="T17">
        <v>4.53E-2</v>
      </c>
      <c r="U17">
        <v>5.0000000000000001E-4</v>
      </c>
      <c r="V17">
        <v>7.2300000000000003E-2</v>
      </c>
      <c r="W17" s="4" t="s">
        <v>126</v>
      </c>
      <c r="X17" s="4" t="s">
        <v>116</v>
      </c>
    </row>
    <row r="18" spans="1:24" x14ac:dyDescent="0.25">
      <c r="A18" s="4">
        <v>2104008220</v>
      </c>
      <c r="B18">
        <v>0.10539999999999999</v>
      </c>
      <c r="C18">
        <v>6.9999999999999999E-4</v>
      </c>
      <c r="D18">
        <v>1.5E-3</v>
      </c>
      <c r="E18">
        <v>8.9999999999999993E-3</v>
      </c>
      <c r="F18">
        <v>8.9999999999999993E-3</v>
      </c>
      <c r="G18">
        <v>2.9999999999999997E-4</v>
      </c>
      <c r="H18">
        <v>8.9999999999999993E-3</v>
      </c>
      <c r="I18">
        <v>0.43630000000000002</v>
      </c>
      <c r="J18">
        <v>2.8E-3</v>
      </c>
      <c r="K18">
        <v>6.1999999999999998E-3</v>
      </c>
      <c r="L18">
        <v>4.1200000000000001E-2</v>
      </c>
      <c r="M18">
        <v>4.1200000000000001E-2</v>
      </c>
      <c r="N18">
        <v>1.1999999999999999E-3</v>
      </c>
      <c r="O18">
        <v>3.7199999999999997E-2</v>
      </c>
      <c r="P18">
        <v>0.54169999999999996</v>
      </c>
      <c r="Q18">
        <v>3.5000000000000001E-3</v>
      </c>
      <c r="R18">
        <v>7.7000000000000002E-3</v>
      </c>
      <c r="S18">
        <v>5.0200000000000002E-2</v>
      </c>
      <c r="T18">
        <v>5.0200000000000002E-2</v>
      </c>
      <c r="U18">
        <v>1.5E-3</v>
      </c>
      <c r="V18">
        <v>4.6199999999999998E-2</v>
      </c>
      <c r="W18" s="4" t="s">
        <v>127</v>
      </c>
      <c r="X18" s="4" t="s">
        <v>116</v>
      </c>
    </row>
    <row r="19" spans="1:24" x14ac:dyDescent="0.25">
      <c r="A19" s="4">
        <v>2104008230</v>
      </c>
      <c r="B19">
        <v>0.10249999999999999</v>
      </c>
      <c r="C19">
        <v>8.9999999999999998E-4</v>
      </c>
      <c r="D19">
        <v>1.9E-3</v>
      </c>
      <c r="E19">
        <v>1.2500000000000001E-2</v>
      </c>
      <c r="F19">
        <v>1.2500000000000001E-2</v>
      </c>
      <c r="G19">
        <v>4.0000000000000002E-4</v>
      </c>
      <c r="H19">
        <v>1.44E-2</v>
      </c>
      <c r="I19">
        <v>0.4244</v>
      </c>
      <c r="J19">
        <v>3.5999999999999999E-3</v>
      </c>
      <c r="K19">
        <v>7.9000000000000008E-3</v>
      </c>
      <c r="L19">
        <v>5.7099999999999998E-2</v>
      </c>
      <c r="M19">
        <v>5.7099999999999998E-2</v>
      </c>
      <c r="N19">
        <v>1.6000000000000001E-3</v>
      </c>
      <c r="O19">
        <v>5.9499999999999997E-2</v>
      </c>
      <c r="P19">
        <v>0.52690000000000003</v>
      </c>
      <c r="Q19">
        <v>4.4000000000000003E-3</v>
      </c>
      <c r="R19">
        <v>9.7999999999999997E-3</v>
      </c>
      <c r="S19">
        <v>6.9599999999999995E-2</v>
      </c>
      <c r="T19">
        <v>6.9599999999999995E-2</v>
      </c>
      <c r="U19">
        <v>2E-3</v>
      </c>
      <c r="V19">
        <v>7.3899999999999993E-2</v>
      </c>
      <c r="W19" s="4" t="s">
        <v>128</v>
      </c>
      <c r="X19" s="4" t="s">
        <v>116</v>
      </c>
    </row>
    <row r="20" spans="1:24" x14ac:dyDescent="0.25">
      <c r="A20" s="4">
        <v>2104008310</v>
      </c>
      <c r="B20">
        <v>0.2631</v>
      </c>
      <c r="C20">
        <v>8.9999999999999998E-4</v>
      </c>
      <c r="D20">
        <v>3.2000000000000002E-3</v>
      </c>
      <c r="E20">
        <v>2.64E-2</v>
      </c>
      <c r="F20">
        <v>2.64E-2</v>
      </c>
      <c r="G20">
        <v>8.9999999999999998E-4</v>
      </c>
      <c r="H20">
        <v>0.11509999999999999</v>
      </c>
      <c r="I20">
        <v>1.0891</v>
      </c>
      <c r="J20">
        <v>3.5999999999999999E-3</v>
      </c>
      <c r="K20">
        <v>1.3100000000000001E-2</v>
      </c>
      <c r="L20">
        <v>0.12089999999999999</v>
      </c>
      <c r="M20">
        <v>0.12089999999999999</v>
      </c>
      <c r="N20">
        <v>3.5999999999999999E-3</v>
      </c>
      <c r="O20">
        <v>0.47639999999999999</v>
      </c>
      <c r="P20">
        <v>1.3522000000000001</v>
      </c>
      <c r="Q20">
        <v>4.4000000000000003E-3</v>
      </c>
      <c r="R20">
        <v>1.6199999999999999E-2</v>
      </c>
      <c r="S20">
        <v>0.1472</v>
      </c>
      <c r="T20">
        <v>0.1472</v>
      </c>
      <c r="U20">
        <v>4.4999999999999997E-3</v>
      </c>
      <c r="V20">
        <v>0.59140000000000004</v>
      </c>
      <c r="W20" s="4" t="s">
        <v>129</v>
      </c>
      <c r="X20" s="4" t="s">
        <v>116</v>
      </c>
    </row>
    <row r="21" spans="1:24" x14ac:dyDescent="0.25">
      <c r="A21" s="4">
        <v>2104008320</v>
      </c>
      <c r="B21">
        <v>0.75719999999999998</v>
      </c>
      <c r="C21">
        <v>1.5E-3</v>
      </c>
      <c r="D21">
        <v>9.9000000000000008E-3</v>
      </c>
      <c r="E21">
        <v>4.8500000000000001E-2</v>
      </c>
      <c r="F21">
        <v>4.8500000000000001E-2</v>
      </c>
      <c r="G21">
        <v>2.3999999999999998E-3</v>
      </c>
      <c r="H21">
        <v>7.3499999999999996E-2</v>
      </c>
      <c r="I21">
        <v>3.1345999999999998</v>
      </c>
      <c r="J21">
        <v>6.3E-3</v>
      </c>
      <c r="K21">
        <v>4.0800000000000003E-2</v>
      </c>
      <c r="L21">
        <v>0.2225</v>
      </c>
      <c r="M21">
        <v>0.2225</v>
      </c>
      <c r="N21">
        <v>1.01E-2</v>
      </c>
      <c r="O21">
        <v>0.30420000000000003</v>
      </c>
      <c r="P21">
        <v>3.8917999999999999</v>
      </c>
      <c r="Q21">
        <v>7.9000000000000008E-3</v>
      </c>
      <c r="R21">
        <v>5.0599999999999999E-2</v>
      </c>
      <c r="S21">
        <v>0.27110000000000001</v>
      </c>
      <c r="T21">
        <v>0.27110000000000001</v>
      </c>
      <c r="U21">
        <v>1.26E-2</v>
      </c>
      <c r="V21">
        <v>0.37769999999999998</v>
      </c>
      <c r="W21" s="4" t="s">
        <v>130</v>
      </c>
      <c r="X21" s="4" t="s">
        <v>116</v>
      </c>
    </row>
    <row r="22" spans="1:24" x14ac:dyDescent="0.25">
      <c r="A22" s="4">
        <v>2104008330</v>
      </c>
      <c r="B22">
        <v>0.96919999999999995</v>
      </c>
      <c r="C22">
        <v>2E-3</v>
      </c>
      <c r="D22">
        <v>1.26E-2</v>
      </c>
      <c r="E22">
        <v>6.8900000000000003E-2</v>
      </c>
      <c r="F22">
        <v>6.8900000000000003E-2</v>
      </c>
      <c r="G22">
        <v>3.0999999999999999E-3</v>
      </c>
      <c r="H22">
        <v>0.1176</v>
      </c>
      <c r="I22">
        <v>4.0124000000000004</v>
      </c>
      <c r="J22">
        <v>8.0999999999999996E-3</v>
      </c>
      <c r="K22">
        <v>5.2200000000000003E-2</v>
      </c>
      <c r="L22">
        <v>0.316</v>
      </c>
      <c r="M22">
        <v>0.316</v>
      </c>
      <c r="N22">
        <v>1.2999999999999999E-2</v>
      </c>
      <c r="O22">
        <v>0.48680000000000001</v>
      </c>
      <c r="P22">
        <v>4.9816000000000003</v>
      </c>
      <c r="Q22">
        <v>1.01E-2</v>
      </c>
      <c r="R22">
        <v>6.4799999999999996E-2</v>
      </c>
      <c r="S22">
        <v>0.38500000000000001</v>
      </c>
      <c r="T22">
        <v>0.38500000000000001</v>
      </c>
      <c r="U22">
        <v>1.61E-2</v>
      </c>
      <c r="V22">
        <v>0.60440000000000005</v>
      </c>
      <c r="W22" s="4" t="s">
        <v>131</v>
      </c>
      <c r="X22" s="4" t="s">
        <v>116</v>
      </c>
    </row>
    <row r="23" spans="1:24" x14ac:dyDescent="0.25">
      <c r="A23" s="4">
        <v>2104008410</v>
      </c>
      <c r="B23">
        <v>3.5000000000000001E-3</v>
      </c>
      <c r="C23">
        <v>0</v>
      </c>
      <c r="D23">
        <v>1.4E-3</v>
      </c>
      <c r="E23">
        <v>1E-3</v>
      </c>
      <c r="F23">
        <v>1E-3</v>
      </c>
      <c r="G23">
        <v>1E-4</v>
      </c>
      <c r="H23">
        <v>8.0000000000000004E-4</v>
      </c>
      <c r="I23">
        <v>1.44E-2</v>
      </c>
      <c r="J23">
        <v>1E-4</v>
      </c>
      <c r="K23">
        <v>5.7999999999999996E-3</v>
      </c>
      <c r="L23">
        <v>4.7999999999999996E-3</v>
      </c>
      <c r="M23">
        <v>4.7999999999999996E-3</v>
      </c>
      <c r="N23">
        <v>5.0000000000000001E-4</v>
      </c>
      <c r="O23">
        <v>3.3E-3</v>
      </c>
      <c r="P23">
        <v>1.7899999999999999E-2</v>
      </c>
      <c r="Q23">
        <v>1E-4</v>
      </c>
      <c r="R23">
        <v>7.1999999999999998E-3</v>
      </c>
      <c r="S23">
        <v>5.7999999999999996E-3</v>
      </c>
      <c r="T23">
        <v>5.7999999999999996E-3</v>
      </c>
      <c r="U23">
        <v>5.9999999999999995E-4</v>
      </c>
      <c r="V23">
        <v>4.1000000000000003E-3</v>
      </c>
      <c r="W23" s="4" t="s">
        <v>132</v>
      </c>
      <c r="X23" s="4" t="s">
        <v>116</v>
      </c>
    </row>
    <row r="24" spans="1:24" x14ac:dyDescent="0.25">
      <c r="A24" s="4">
        <v>2104008420</v>
      </c>
      <c r="B24">
        <v>2.24E-2</v>
      </c>
      <c r="C24">
        <v>2.0000000000000001E-4</v>
      </c>
      <c r="D24">
        <v>8.9999999999999993E-3</v>
      </c>
      <c r="E24">
        <v>6.7000000000000002E-3</v>
      </c>
      <c r="F24">
        <v>6.7000000000000002E-3</v>
      </c>
      <c r="G24">
        <v>6.9999999999999999E-4</v>
      </c>
      <c r="H24">
        <v>5.1999999999999998E-3</v>
      </c>
      <c r="I24">
        <v>9.2899999999999996E-2</v>
      </c>
      <c r="J24">
        <v>6.9999999999999999E-4</v>
      </c>
      <c r="K24">
        <v>3.7400000000000003E-2</v>
      </c>
      <c r="L24">
        <v>3.0700000000000002E-2</v>
      </c>
      <c r="M24">
        <v>3.0700000000000002E-2</v>
      </c>
      <c r="N24">
        <v>3.0000000000000001E-3</v>
      </c>
      <c r="O24">
        <v>2.1399999999999999E-2</v>
      </c>
      <c r="P24">
        <v>0.1153</v>
      </c>
      <c r="Q24">
        <v>8.0000000000000004E-4</v>
      </c>
      <c r="R24">
        <v>4.65E-2</v>
      </c>
      <c r="S24">
        <v>3.73E-2</v>
      </c>
      <c r="T24">
        <v>3.73E-2</v>
      </c>
      <c r="U24">
        <v>3.7000000000000002E-3</v>
      </c>
      <c r="V24">
        <v>2.6599999999999999E-2</v>
      </c>
      <c r="W24" s="4" t="s">
        <v>133</v>
      </c>
      <c r="X24" s="4" t="s">
        <v>116</v>
      </c>
    </row>
    <row r="25" spans="1:24" x14ac:dyDescent="0.25">
      <c r="A25" s="4">
        <v>2104008610</v>
      </c>
      <c r="B25">
        <v>3.6400000000000002E-2</v>
      </c>
      <c r="C25">
        <v>1E-4</v>
      </c>
      <c r="D25">
        <v>1E-3</v>
      </c>
      <c r="E25">
        <v>5.8999999999999999E-3</v>
      </c>
      <c r="F25">
        <v>5.8999999999999999E-3</v>
      </c>
      <c r="G25">
        <v>2.0000000000000001E-4</v>
      </c>
      <c r="H25">
        <v>2.7300000000000001E-2</v>
      </c>
      <c r="I25">
        <v>0.30070000000000002</v>
      </c>
      <c r="J25">
        <v>1.1999999999999999E-3</v>
      </c>
      <c r="K25">
        <v>8.0000000000000002E-3</v>
      </c>
      <c r="L25">
        <v>5.4300000000000001E-2</v>
      </c>
      <c r="M25">
        <v>5.4300000000000001E-2</v>
      </c>
      <c r="N25">
        <v>2E-3</v>
      </c>
      <c r="O25">
        <v>0.22539999999999999</v>
      </c>
      <c r="P25">
        <v>0.33700000000000002</v>
      </c>
      <c r="Q25">
        <v>1.4E-3</v>
      </c>
      <c r="R25">
        <v>8.9999999999999993E-3</v>
      </c>
      <c r="S25">
        <v>6.0199999999999997E-2</v>
      </c>
      <c r="T25">
        <v>6.0199999999999997E-2</v>
      </c>
      <c r="U25">
        <v>2.2000000000000001E-3</v>
      </c>
      <c r="V25">
        <v>0.25259999999999999</v>
      </c>
      <c r="W25" s="4" t="s">
        <v>134</v>
      </c>
      <c r="X25" s="4" t="s">
        <v>116</v>
      </c>
    </row>
    <row r="26" spans="1:24" x14ac:dyDescent="0.25">
      <c r="X26" s="4"/>
    </row>
    <row r="27" spans="1:24" x14ac:dyDescent="0.25">
      <c r="B27" s="79">
        <f>SUMIFS(B8:B25,$X8:$X25,$X27)/B7</f>
        <v>0.9979704262104957</v>
      </c>
      <c r="C27" s="79">
        <f t="shared" ref="C27:V27" si="0">SUMIFS(C8:C25,$X8:$X25,$X27)/C7</f>
        <v>0.97368421052631582</v>
      </c>
      <c r="D27" s="79">
        <f t="shared" si="0"/>
        <v>0.26394984326018811</v>
      </c>
      <c r="E27" s="79">
        <f t="shared" si="0"/>
        <v>0.97645904855321242</v>
      </c>
      <c r="F27" s="79">
        <f t="shared" si="0"/>
        <v>0.97645904855321242</v>
      </c>
      <c r="G27" s="79">
        <f t="shared" si="0"/>
        <v>2.7815013404825738E-2</v>
      </c>
      <c r="H27" s="79">
        <f t="shared" si="0"/>
        <v>0.98449278483738956</v>
      </c>
      <c r="I27" s="79">
        <f t="shared" si="0"/>
        <v>0.98829475399923772</v>
      </c>
      <c r="J27" s="79">
        <f t="shared" si="0"/>
        <v>0.60962072155411673</v>
      </c>
      <c r="K27" s="79">
        <f t="shared" si="0"/>
        <v>0.10294249977503825</v>
      </c>
      <c r="L27" s="79">
        <f t="shared" si="0"/>
        <v>0.95339102890434968</v>
      </c>
      <c r="M27" s="79">
        <f t="shared" si="0"/>
        <v>0.95339102890434968</v>
      </c>
      <c r="N27" s="79">
        <f t="shared" si="0"/>
        <v>1.1671596450555599E-2</v>
      </c>
      <c r="O27" s="79">
        <f t="shared" si="0"/>
        <v>0.98262192802252135</v>
      </c>
      <c r="P27" s="79">
        <f t="shared" si="0"/>
        <v>0.98961411708650771</v>
      </c>
      <c r="Q27" s="79">
        <f t="shared" si="0"/>
        <v>0.63180639585133969</v>
      </c>
      <c r="R27" s="79">
        <f t="shared" si="0"/>
        <v>0.11368120565887245</v>
      </c>
      <c r="S27" s="79">
        <f t="shared" si="0"/>
        <v>0.95577644791561023</v>
      </c>
      <c r="T27" s="79">
        <f t="shared" si="0"/>
        <v>0.95577644791561023</v>
      </c>
      <c r="U27" s="79">
        <f t="shared" si="0"/>
        <v>1.2885707232782031E-2</v>
      </c>
      <c r="V27" s="79">
        <f t="shared" si="0"/>
        <v>0.98271696182381552</v>
      </c>
      <c r="X27" s="4" t="s">
        <v>116</v>
      </c>
    </row>
    <row r="28" spans="1:24" x14ac:dyDescent="0.25">
      <c r="B28" s="79">
        <f>SUMIFS(B8:B25,$X8:$X25,$X28)/B7</f>
        <v>1.9053141697386406E-3</v>
      </c>
      <c r="C28" s="79">
        <f t="shared" ref="C28:V28" si="1">SUMIFS(C8:C25,$X8:$X25,$X28)/C7</f>
        <v>2.6315789473684213E-2</v>
      </c>
      <c r="D28" s="79">
        <f t="shared" si="1"/>
        <v>0.73605015673981189</v>
      </c>
      <c r="E28" s="79">
        <f t="shared" si="1"/>
        <v>2.3050514958312895E-2</v>
      </c>
      <c r="F28" s="79">
        <f t="shared" si="1"/>
        <v>2.3050514958312895E-2</v>
      </c>
      <c r="G28" s="79">
        <f t="shared" si="1"/>
        <v>0.97117962466487939</v>
      </c>
      <c r="H28" s="79">
        <f t="shared" si="1"/>
        <v>1.5722593150979972E-2</v>
      </c>
      <c r="I28" s="79">
        <f t="shared" si="1"/>
        <v>4.1602586852793871E-3</v>
      </c>
      <c r="J28" s="79">
        <f t="shared" si="1"/>
        <v>3.2377428307123035E-2</v>
      </c>
      <c r="K28" s="79">
        <f t="shared" si="1"/>
        <v>0.79847925852605073</v>
      </c>
      <c r="L28" s="79">
        <f t="shared" si="1"/>
        <v>3.6427399739804286E-2</v>
      </c>
      <c r="M28" s="79">
        <f t="shared" si="1"/>
        <v>3.6427399739804286E-2</v>
      </c>
      <c r="N28" s="79">
        <f t="shared" si="1"/>
        <v>0.98249260532416671</v>
      </c>
      <c r="O28" s="79">
        <f t="shared" si="1"/>
        <v>1.5323746481016509E-2</v>
      </c>
      <c r="P28" s="79">
        <f t="shared" si="1"/>
        <v>3.8457829685133609E-3</v>
      </c>
      <c r="Q28" s="79">
        <f t="shared" si="1"/>
        <v>3.1979256698357827E-2</v>
      </c>
      <c r="R28" s="79">
        <f t="shared" si="1"/>
        <v>0.79429914781075528</v>
      </c>
      <c r="S28" s="79">
        <f t="shared" si="1"/>
        <v>3.5044122121919055E-2</v>
      </c>
      <c r="T28" s="79">
        <f t="shared" si="1"/>
        <v>3.5044122121919055E-2</v>
      </c>
      <c r="U28" s="79">
        <f t="shared" si="1"/>
        <v>0.98168353492964688</v>
      </c>
      <c r="V28" s="79">
        <f t="shared" si="1"/>
        <v>1.5350066801216635E-2</v>
      </c>
      <c r="X28" s="4" t="s">
        <v>115</v>
      </c>
    </row>
    <row r="29" spans="1:24" x14ac:dyDescent="0.25">
      <c r="B29" s="79">
        <f>SUMIFS(B8:B25,$X8:$X25,$X29)/B7</f>
        <v>1.2425961976556354E-4</v>
      </c>
      <c r="C29" s="79">
        <f t="shared" ref="C29:V29" si="2">SUMIFS(C8:C25,$X8:$X25,$X29)/C7</f>
        <v>0</v>
      </c>
      <c r="D29" s="79">
        <f t="shared" si="2"/>
        <v>0</v>
      </c>
      <c r="E29" s="79">
        <f t="shared" si="2"/>
        <v>0</v>
      </c>
      <c r="F29" s="79">
        <f t="shared" si="2"/>
        <v>0</v>
      </c>
      <c r="G29" s="79">
        <f t="shared" si="2"/>
        <v>0</v>
      </c>
      <c r="H29" s="79">
        <f t="shared" si="2"/>
        <v>0</v>
      </c>
      <c r="I29" s="79">
        <f t="shared" si="2"/>
        <v>2.0768431983385254E-3</v>
      </c>
      <c r="J29" s="79">
        <f t="shared" si="2"/>
        <v>2.7752081406105457E-3</v>
      </c>
      <c r="K29" s="79">
        <f t="shared" si="2"/>
        <v>5.3990821560334753E-4</v>
      </c>
      <c r="L29" s="79">
        <f t="shared" si="2"/>
        <v>1.1312857062051021E-3</v>
      </c>
      <c r="M29" s="79">
        <f t="shared" si="2"/>
        <v>1.1312857062051021E-3</v>
      </c>
      <c r="N29" s="79">
        <f t="shared" si="2"/>
        <v>6.1289205105657257E-4</v>
      </c>
      <c r="O29" s="79">
        <f t="shared" si="2"/>
        <v>3.6521342159324353E-4</v>
      </c>
      <c r="P29" s="79">
        <f t="shared" si="2"/>
        <v>1.8151188051980466E-3</v>
      </c>
      <c r="Q29" s="79">
        <f t="shared" si="2"/>
        <v>2.5929127052722557E-3</v>
      </c>
      <c r="R29" s="79">
        <f t="shared" si="2"/>
        <v>5.0375718903488526E-4</v>
      </c>
      <c r="S29" s="79">
        <f t="shared" si="2"/>
        <v>1.0143016533116949E-3</v>
      </c>
      <c r="T29" s="79">
        <f t="shared" si="2"/>
        <v>1.0143016533116949E-3</v>
      </c>
      <c r="U29" s="79">
        <f t="shared" si="2"/>
        <v>5.6776104665514683E-4</v>
      </c>
      <c r="V29" s="79">
        <f t="shared" si="2"/>
        <v>3.4111259558259184E-4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5.4681441171444715E-3</v>
      </c>
      <c r="J30" s="79">
        <f t="shared" si="3"/>
        <v>0.35615171137835339</v>
      </c>
      <c r="K30" s="79">
        <f t="shared" si="3"/>
        <v>9.7993341132007569E-2</v>
      </c>
      <c r="L30" s="79">
        <f t="shared" si="3"/>
        <v>9.1634142202613265E-3</v>
      </c>
      <c r="M30" s="79">
        <f t="shared" si="3"/>
        <v>9.1634142202613265E-3</v>
      </c>
      <c r="N30" s="79">
        <f t="shared" si="3"/>
        <v>5.2495536547019477E-3</v>
      </c>
      <c r="O30" s="79">
        <f t="shared" si="3"/>
        <v>1.6891120748687514E-3</v>
      </c>
      <c r="P30" s="79">
        <f t="shared" si="3"/>
        <v>4.7193088935149211E-3</v>
      </c>
      <c r="Q30" s="79">
        <f t="shared" si="3"/>
        <v>0.33275713050993949</v>
      </c>
      <c r="R30" s="79">
        <f t="shared" si="3"/>
        <v>9.1431929809831669E-2</v>
      </c>
      <c r="S30" s="79">
        <f t="shared" si="3"/>
        <v>8.2158433918247276E-3</v>
      </c>
      <c r="T30" s="79">
        <f t="shared" si="3"/>
        <v>8.2158433918247276E-3</v>
      </c>
      <c r="U30" s="79">
        <f t="shared" si="3"/>
        <v>4.8629967909158229E-3</v>
      </c>
      <c r="V30" s="79">
        <f t="shared" si="3"/>
        <v>1.5776457545694875E-3</v>
      </c>
      <c r="X30" s="4" t="s">
        <v>113</v>
      </c>
    </row>
    <row r="64" spans="1:1" x14ac:dyDescent="0.25">
      <c r="A64" t="s">
        <v>192</v>
      </c>
    </row>
    <row r="65" spans="1:24" x14ac:dyDescent="0.25">
      <c r="A65" s="77" t="s">
        <v>193</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2.4142999999999999</v>
      </c>
      <c r="C69">
        <v>7.6E-3</v>
      </c>
      <c r="D69">
        <v>0.1595</v>
      </c>
      <c r="E69">
        <v>0.2039</v>
      </c>
      <c r="F69">
        <v>0.2039</v>
      </c>
      <c r="G69">
        <v>0.2984</v>
      </c>
      <c r="H69">
        <v>0.46429999999999999</v>
      </c>
      <c r="I69">
        <v>15.215400000000001</v>
      </c>
      <c r="J69" s="78">
        <v>0.1081</v>
      </c>
      <c r="K69" s="78">
        <v>2.2225999999999999</v>
      </c>
      <c r="L69">
        <v>1.7877000000000001</v>
      </c>
      <c r="M69" s="82">
        <v>1.7877000000000001</v>
      </c>
      <c r="N69" s="78">
        <v>3.7502</v>
      </c>
      <c r="O69" s="78">
        <v>6.5715000000000003</v>
      </c>
      <c r="P69">
        <v>17.6297</v>
      </c>
      <c r="Q69" s="78">
        <v>0.1157</v>
      </c>
      <c r="R69" s="78">
        <v>2.3820999999999999</v>
      </c>
      <c r="S69">
        <v>1.9915</v>
      </c>
      <c r="T69" s="82">
        <v>1.9915</v>
      </c>
      <c r="U69" s="78">
        <v>4.0486000000000004</v>
      </c>
      <c r="V69" s="78">
        <v>7.0358000000000001</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1.8599999999999998E-2</v>
      </c>
      <c r="O70">
        <v>5.0000000000000001E-4</v>
      </c>
      <c r="P70">
        <v>6.1999999999999998E-3</v>
      </c>
      <c r="Q70">
        <v>0</v>
      </c>
      <c r="R70">
        <v>2.6200000000000001E-2</v>
      </c>
      <c r="S70">
        <v>2.5999999999999999E-3</v>
      </c>
      <c r="T70">
        <v>2.5999999999999999E-3</v>
      </c>
      <c r="U70">
        <v>1.8599999999999998E-2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6.7000000000000002E-3</v>
      </c>
      <c r="E72">
        <v>2.0000000000000001E-4</v>
      </c>
      <c r="F72">
        <v>2.0000000000000001E-4</v>
      </c>
      <c r="G72">
        <v>4.7000000000000002E-3</v>
      </c>
      <c r="H72">
        <v>2.9999999999999997E-4</v>
      </c>
      <c r="I72">
        <v>1.26E-2</v>
      </c>
      <c r="J72">
        <v>6.9999999999999999E-4</v>
      </c>
      <c r="K72">
        <v>0.505</v>
      </c>
      <c r="L72">
        <v>1.2800000000000001E-2</v>
      </c>
      <c r="M72">
        <v>1.2800000000000001E-2</v>
      </c>
      <c r="N72">
        <v>0.39129999999999998</v>
      </c>
      <c r="O72">
        <v>0.02</v>
      </c>
      <c r="P72">
        <v>1.2699999999999999E-2</v>
      </c>
      <c r="Q72">
        <v>6.9999999999999999E-4</v>
      </c>
      <c r="R72">
        <v>0.51170000000000004</v>
      </c>
      <c r="S72">
        <v>1.2999999999999999E-2</v>
      </c>
      <c r="T72">
        <v>1.2999999999999999E-2</v>
      </c>
      <c r="U72">
        <v>0.39600000000000002</v>
      </c>
      <c r="V72">
        <v>2.0299999999999999E-2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2.7400000000000001E-2</v>
      </c>
      <c r="J75">
        <v>2.9999999999999997E-4</v>
      </c>
      <c r="K75">
        <v>1E-3</v>
      </c>
      <c r="L75">
        <v>1.6999999999999999E-3</v>
      </c>
      <c r="M75">
        <v>1.6999999999999999E-3</v>
      </c>
      <c r="N75">
        <v>2E-3</v>
      </c>
      <c r="O75">
        <v>2.0999999999999999E-3</v>
      </c>
      <c r="P75">
        <v>2.75E-2</v>
      </c>
      <c r="Q75">
        <v>2.9999999999999997E-4</v>
      </c>
      <c r="R75">
        <v>1E-3</v>
      </c>
      <c r="S75">
        <v>1.6999999999999999E-3</v>
      </c>
      <c r="T75">
        <v>1.6999999999999999E-3</v>
      </c>
      <c r="U75">
        <v>2E-3</v>
      </c>
      <c r="V75">
        <v>2.0999999999999999E-3</v>
      </c>
      <c r="W75" s="4" t="s">
        <v>122</v>
      </c>
      <c r="X75" s="4" t="s">
        <v>114</v>
      </c>
    </row>
    <row r="76" spans="1:24" x14ac:dyDescent="0.25">
      <c r="A76" s="4">
        <v>2104004000</v>
      </c>
      <c r="B76">
        <v>4.4000000000000003E-3</v>
      </c>
      <c r="C76">
        <v>2.0000000000000001E-4</v>
      </c>
      <c r="D76">
        <v>0.11070000000000001</v>
      </c>
      <c r="E76">
        <v>4.4999999999999997E-3</v>
      </c>
      <c r="F76">
        <v>4.4999999999999997E-3</v>
      </c>
      <c r="G76">
        <v>0.28510000000000002</v>
      </c>
      <c r="H76">
        <v>7.0000000000000001E-3</v>
      </c>
      <c r="I76">
        <v>5.0700000000000002E-2</v>
      </c>
      <c r="J76">
        <v>2.8E-3</v>
      </c>
      <c r="K76">
        <v>1.2697000000000001</v>
      </c>
      <c r="L76">
        <v>5.16E-2</v>
      </c>
      <c r="M76">
        <v>5.16E-2</v>
      </c>
      <c r="N76">
        <v>3.2957000000000001</v>
      </c>
      <c r="O76">
        <v>8.0699999999999994E-2</v>
      </c>
      <c r="P76">
        <v>5.5100000000000003E-2</v>
      </c>
      <c r="Q76">
        <v>3.0000000000000001E-3</v>
      </c>
      <c r="R76">
        <v>1.3804000000000001</v>
      </c>
      <c r="S76">
        <v>5.6099999999999997E-2</v>
      </c>
      <c r="T76">
        <v>5.6099999999999997E-2</v>
      </c>
      <c r="U76">
        <v>3.5808</v>
      </c>
      <c r="V76">
        <v>8.77E-2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8.8200000000000001E-2</v>
      </c>
      <c r="C78">
        <v>5.9999999999999995E-4</v>
      </c>
      <c r="D78">
        <v>8.9999999999999998E-4</v>
      </c>
      <c r="E78">
        <v>1.21E-2</v>
      </c>
      <c r="F78">
        <v>1.21E-2</v>
      </c>
      <c r="G78">
        <v>1E-4</v>
      </c>
      <c r="H78">
        <v>7.9899999999999999E-2</v>
      </c>
      <c r="I78">
        <v>5.2770999999999999</v>
      </c>
      <c r="J78">
        <v>3.7600000000000001E-2</v>
      </c>
      <c r="K78">
        <v>5.4300000000000001E-2</v>
      </c>
      <c r="L78">
        <v>0.81079999999999997</v>
      </c>
      <c r="M78">
        <v>0.81079999999999997</v>
      </c>
      <c r="N78">
        <v>8.3999999999999995E-3</v>
      </c>
      <c r="O78">
        <v>4.7839999999999998</v>
      </c>
      <c r="P78">
        <v>5.3653000000000004</v>
      </c>
      <c r="Q78">
        <v>3.8199999999999998E-2</v>
      </c>
      <c r="R78">
        <v>5.5199999999999999E-2</v>
      </c>
      <c r="S78">
        <v>0.82279999999999998</v>
      </c>
      <c r="T78">
        <v>0.82279999999999998</v>
      </c>
      <c r="U78">
        <v>8.5000000000000006E-3</v>
      </c>
      <c r="V78">
        <v>4.8639999999999999</v>
      </c>
      <c r="W78" s="4" t="s">
        <v>125</v>
      </c>
      <c r="X78" s="4" t="s">
        <v>116</v>
      </c>
    </row>
    <row r="79" spans="1:24" x14ac:dyDescent="0.25">
      <c r="A79" s="4">
        <v>2104008210</v>
      </c>
      <c r="B79">
        <v>6.1199999999999997E-2</v>
      </c>
      <c r="C79">
        <v>5.0000000000000001E-4</v>
      </c>
      <c r="D79">
        <v>6.9999999999999999E-4</v>
      </c>
      <c r="E79">
        <v>8.0999999999999996E-3</v>
      </c>
      <c r="F79">
        <v>8.0999999999999996E-3</v>
      </c>
      <c r="G79">
        <v>1E-4</v>
      </c>
      <c r="H79">
        <v>1.41E-2</v>
      </c>
      <c r="I79">
        <v>0.25359999999999999</v>
      </c>
      <c r="J79">
        <v>1.9E-3</v>
      </c>
      <c r="K79">
        <v>3.0999999999999999E-3</v>
      </c>
      <c r="L79">
        <v>3.78E-2</v>
      </c>
      <c r="M79">
        <v>3.78E-2</v>
      </c>
      <c r="N79">
        <v>4.0000000000000002E-4</v>
      </c>
      <c r="O79">
        <v>5.8200000000000002E-2</v>
      </c>
      <c r="P79">
        <v>0.31480000000000002</v>
      </c>
      <c r="Q79">
        <v>2.3E-3</v>
      </c>
      <c r="R79">
        <v>3.8E-3</v>
      </c>
      <c r="S79">
        <v>4.5900000000000003E-2</v>
      </c>
      <c r="T79">
        <v>4.5900000000000003E-2</v>
      </c>
      <c r="U79">
        <v>5.0000000000000001E-4</v>
      </c>
      <c r="V79">
        <v>7.2300000000000003E-2</v>
      </c>
      <c r="W79" s="4" t="s">
        <v>126</v>
      </c>
      <c r="X79" s="4" t="s">
        <v>116</v>
      </c>
    </row>
    <row r="80" spans="1:24" x14ac:dyDescent="0.25">
      <c r="A80" s="4">
        <v>2104008220</v>
      </c>
      <c r="B80">
        <v>0.10539999999999999</v>
      </c>
      <c r="C80">
        <v>6.9999999999999999E-4</v>
      </c>
      <c r="D80">
        <v>1.5E-3</v>
      </c>
      <c r="E80">
        <v>8.9999999999999993E-3</v>
      </c>
      <c r="F80">
        <v>8.9999999999999993E-3</v>
      </c>
      <c r="G80">
        <v>2.9999999999999997E-4</v>
      </c>
      <c r="H80">
        <v>8.9999999999999993E-3</v>
      </c>
      <c r="I80">
        <v>0.43630000000000002</v>
      </c>
      <c r="J80">
        <v>2.8E-3</v>
      </c>
      <c r="K80">
        <v>6.1999999999999998E-3</v>
      </c>
      <c r="L80">
        <v>4.1500000000000002E-2</v>
      </c>
      <c r="M80">
        <v>4.1500000000000002E-2</v>
      </c>
      <c r="N80">
        <v>1.1999999999999999E-3</v>
      </c>
      <c r="O80">
        <v>3.7199999999999997E-2</v>
      </c>
      <c r="P80">
        <v>0.54169999999999996</v>
      </c>
      <c r="Q80">
        <v>3.5000000000000001E-3</v>
      </c>
      <c r="R80">
        <v>7.7000000000000002E-3</v>
      </c>
      <c r="S80">
        <v>5.0500000000000003E-2</v>
      </c>
      <c r="T80">
        <v>5.0500000000000003E-2</v>
      </c>
      <c r="U80">
        <v>1.5E-3</v>
      </c>
      <c r="V80">
        <v>4.6199999999999998E-2</v>
      </c>
      <c r="W80" s="4" t="s">
        <v>127</v>
      </c>
      <c r="X80" s="4" t="s">
        <v>116</v>
      </c>
    </row>
    <row r="81" spans="1:24" x14ac:dyDescent="0.25">
      <c r="A81" s="4">
        <v>2104008230</v>
      </c>
      <c r="B81">
        <v>0.10249999999999999</v>
      </c>
      <c r="C81">
        <v>8.9999999999999998E-4</v>
      </c>
      <c r="D81">
        <v>1.9E-3</v>
      </c>
      <c r="E81">
        <v>1.2500000000000001E-2</v>
      </c>
      <c r="F81">
        <v>1.2500000000000001E-2</v>
      </c>
      <c r="G81">
        <v>4.0000000000000002E-4</v>
      </c>
      <c r="H81">
        <v>1.44E-2</v>
      </c>
      <c r="I81">
        <v>0.4244</v>
      </c>
      <c r="J81">
        <v>3.5999999999999999E-3</v>
      </c>
      <c r="K81">
        <v>7.9000000000000008E-3</v>
      </c>
      <c r="L81">
        <v>5.7599999999999998E-2</v>
      </c>
      <c r="M81">
        <v>5.7599999999999998E-2</v>
      </c>
      <c r="N81">
        <v>1.5E-3</v>
      </c>
      <c r="O81">
        <v>5.9499999999999997E-2</v>
      </c>
      <c r="P81">
        <v>0.52690000000000003</v>
      </c>
      <c r="Q81">
        <v>4.4000000000000003E-3</v>
      </c>
      <c r="R81">
        <v>9.7999999999999997E-3</v>
      </c>
      <c r="S81">
        <v>7.0099999999999996E-2</v>
      </c>
      <c r="T81">
        <v>7.0099999999999996E-2</v>
      </c>
      <c r="U81">
        <v>1.9E-3</v>
      </c>
      <c r="V81">
        <v>7.3899999999999993E-2</v>
      </c>
      <c r="W81" s="4" t="s">
        <v>128</v>
      </c>
      <c r="X81" s="4" t="s">
        <v>116</v>
      </c>
    </row>
    <row r="82" spans="1:24" x14ac:dyDescent="0.25">
      <c r="A82" s="4">
        <v>2104008310</v>
      </c>
      <c r="B82">
        <v>0.2631</v>
      </c>
      <c r="C82">
        <v>8.9999999999999998E-4</v>
      </c>
      <c r="D82">
        <v>3.2000000000000002E-3</v>
      </c>
      <c r="E82">
        <v>2.64E-2</v>
      </c>
      <c r="F82">
        <v>2.64E-2</v>
      </c>
      <c r="G82">
        <v>8.9999999999999998E-4</v>
      </c>
      <c r="H82">
        <v>0.11509999999999999</v>
      </c>
      <c r="I82">
        <v>1.0891</v>
      </c>
      <c r="J82">
        <v>3.5999999999999999E-3</v>
      </c>
      <c r="K82">
        <v>1.3100000000000001E-2</v>
      </c>
      <c r="L82">
        <v>0.1227</v>
      </c>
      <c r="M82">
        <v>0.1227</v>
      </c>
      <c r="N82">
        <v>3.3E-3</v>
      </c>
      <c r="O82">
        <v>0.47639999999999999</v>
      </c>
      <c r="P82">
        <v>1.3522000000000001</v>
      </c>
      <c r="Q82">
        <v>4.4000000000000003E-3</v>
      </c>
      <c r="R82">
        <v>1.6199999999999999E-2</v>
      </c>
      <c r="S82">
        <v>0.14899999999999999</v>
      </c>
      <c r="T82">
        <v>0.14899999999999999</v>
      </c>
      <c r="U82">
        <v>4.1999999999999997E-3</v>
      </c>
      <c r="V82">
        <v>0.59140000000000004</v>
      </c>
      <c r="W82" s="4" t="s">
        <v>129</v>
      </c>
      <c r="X82" s="4" t="s">
        <v>116</v>
      </c>
    </row>
    <row r="83" spans="1:24" x14ac:dyDescent="0.25">
      <c r="A83" s="4">
        <v>2104008320</v>
      </c>
      <c r="B83">
        <v>0.75719999999999998</v>
      </c>
      <c r="C83">
        <v>1.5E-3</v>
      </c>
      <c r="D83">
        <v>9.9000000000000008E-3</v>
      </c>
      <c r="E83">
        <v>4.8500000000000001E-2</v>
      </c>
      <c r="F83">
        <v>4.8500000000000001E-2</v>
      </c>
      <c r="G83">
        <v>2.3999999999999998E-3</v>
      </c>
      <c r="H83">
        <v>7.3499999999999996E-2</v>
      </c>
      <c r="I83">
        <v>3.1345999999999998</v>
      </c>
      <c r="J83">
        <v>6.3E-3</v>
      </c>
      <c r="K83">
        <v>4.0800000000000003E-2</v>
      </c>
      <c r="L83">
        <v>0.22450000000000001</v>
      </c>
      <c r="M83">
        <v>0.22450000000000001</v>
      </c>
      <c r="N83">
        <v>9.4999999999999998E-3</v>
      </c>
      <c r="O83">
        <v>0.30420000000000003</v>
      </c>
      <c r="P83">
        <v>3.8917999999999999</v>
      </c>
      <c r="Q83">
        <v>7.9000000000000008E-3</v>
      </c>
      <c r="R83">
        <v>5.0599999999999999E-2</v>
      </c>
      <c r="S83">
        <v>0.27300000000000002</v>
      </c>
      <c r="T83">
        <v>0.27300000000000002</v>
      </c>
      <c r="U83">
        <v>1.2E-2</v>
      </c>
      <c r="V83">
        <v>0.37769999999999998</v>
      </c>
      <c r="W83" s="4" t="s">
        <v>130</v>
      </c>
      <c r="X83" s="4" t="s">
        <v>116</v>
      </c>
    </row>
    <row r="84" spans="1:24" x14ac:dyDescent="0.25">
      <c r="A84" s="4">
        <v>2104008330</v>
      </c>
      <c r="B84">
        <v>0.96919999999999995</v>
      </c>
      <c r="C84">
        <v>2E-3</v>
      </c>
      <c r="D84">
        <v>1.26E-2</v>
      </c>
      <c r="E84">
        <v>6.8900000000000003E-2</v>
      </c>
      <c r="F84">
        <v>6.8900000000000003E-2</v>
      </c>
      <c r="G84">
        <v>3.0999999999999999E-3</v>
      </c>
      <c r="H84">
        <v>0.1176</v>
      </c>
      <c r="I84">
        <v>4.0124000000000004</v>
      </c>
      <c r="J84">
        <v>8.0999999999999996E-3</v>
      </c>
      <c r="K84">
        <v>5.2200000000000003E-2</v>
      </c>
      <c r="L84">
        <v>0.31890000000000002</v>
      </c>
      <c r="M84">
        <v>0.31890000000000002</v>
      </c>
      <c r="N84">
        <v>1.21E-2</v>
      </c>
      <c r="O84">
        <v>0.48680000000000001</v>
      </c>
      <c r="P84">
        <v>4.9816000000000003</v>
      </c>
      <c r="Q84">
        <v>1.01E-2</v>
      </c>
      <c r="R84">
        <v>6.4799999999999996E-2</v>
      </c>
      <c r="S84">
        <v>0.38779999999999998</v>
      </c>
      <c r="T84">
        <v>0.38779999999999998</v>
      </c>
      <c r="U84">
        <v>1.5299999999999999E-2</v>
      </c>
      <c r="V84">
        <v>0.60440000000000005</v>
      </c>
      <c r="W84" s="4" t="s">
        <v>131</v>
      </c>
      <c r="X84" s="4" t="s">
        <v>116</v>
      </c>
    </row>
    <row r="85" spans="1:24" x14ac:dyDescent="0.25">
      <c r="A85" s="4">
        <v>2104008410</v>
      </c>
      <c r="B85">
        <v>3.5000000000000001E-3</v>
      </c>
      <c r="C85">
        <v>0</v>
      </c>
      <c r="D85">
        <v>1.4E-3</v>
      </c>
      <c r="E85">
        <v>1E-3</v>
      </c>
      <c r="F85">
        <v>1E-3</v>
      </c>
      <c r="G85">
        <v>1E-4</v>
      </c>
      <c r="H85">
        <v>8.0000000000000004E-4</v>
      </c>
      <c r="I85">
        <v>1.44E-2</v>
      </c>
      <c r="J85">
        <v>1E-4</v>
      </c>
      <c r="K85">
        <v>5.7999999999999996E-3</v>
      </c>
      <c r="L85">
        <v>4.7999999999999996E-3</v>
      </c>
      <c r="M85">
        <v>4.7999999999999996E-3</v>
      </c>
      <c r="N85">
        <v>4.0000000000000002E-4</v>
      </c>
      <c r="O85">
        <v>3.3E-3</v>
      </c>
      <c r="P85">
        <v>1.7899999999999999E-2</v>
      </c>
      <c r="Q85">
        <v>1E-4</v>
      </c>
      <c r="R85">
        <v>7.1999999999999998E-3</v>
      </c>
      <c r="S85">
        <v>5.8999999999999999E-3</v>
      </c>
      <c r="T85">
        <v>5.8999999999999999E-3</v>
      </c>
      <c r="U85">
        <v>5.0000000000000001E-4</v>
      </c>
      <c r="V85">
        <v>4.1000000000000003E-3</v>
      </c>
      <c r="W85" s="4" t="s">
        <v>132</v>
      </c>
      <c r="X85" s="4" t="s">
        <v>116</v>
      </c>
    </row>
    <row r="86" spans="1:24" x14ac:dyDescent="0.25">
      <c r="A86" s="4">
        <v>2104008420</v>
      </c>
      <c r="B86">
        <v>2.24E-2</v>
      </c>
      <c r="C86">
        <v>2.0000000000000001E-4</v>
      </c>
      <c r="D86">
        <v>8.9999999999999993E-3</v>
      </c>
      <c r="E86">
        <v>6.7000000000000002E-3</v>
      </c>
      <c r="F86">
        <v>6.7000000000000002E-3</v>
      </c>
      <c r="G86">
        <v>6.9999999999999999E-4</v>
      </c>
      <c r="H86">
        <v>5.1999999999999998E-3</v>
      </c>
      <c r="I86">
        <v>9.2899999999999996E-2</v>
      </c>
      <c r="J86">
        <v>6.9999999999999999E-4</v>
      </c>
      <c r="K86">
        <v>3.7400000000000003E-2</v>
      </c>
      <c r="L86">
        <v>3.1099999999999999E-2</v>
      </c>
      <c r="M86">
        <v>3.1099999999999999E-2</v>
      </c>
      <c r="N86">
        <v>2.5999999999999999E-3</v>
      </c>
      <c r="O86">
        <v>2.1399999999999999E-2</v>
      </c>
      <c r="P86">
        <v>0.1153</v>
      </c>
      <c r="Q86">
        <v>8.0000000000000004E-4</v>
      </c>
      <c r="R86">
        <v>4.65E-2</v>
      </c>
      <c r="S86">
        <v>3.78E-2</v>
      </c>
      <c r="T86">
        <v>3.78E-2</v>
      </c>
      <c r="U86">
        <v>3.3E-3</v>
      </c>
      <c r="V86">
        <v>2.6599999999999999E-2</v>
      </c>
      <c r="W86" s="4" t="s">
        <v>133</v>
      </c>
      <c r="X86" s="4" t="s">
        <v>116</v>
      </c>
    </row>
    <row r="87" spans="1:24" x14ac:dyDescent="0.25">
      <c r="A87" s="4">
        <v>2104008610</v>
      </c>
      <c r="B87">
        <v>3.6400000000000002E-2</v>
      </c>
      <c r="C87">
        <v>1E-4</v>
      </c>
      <c r="D87">
        <v>1E-3</v>
      </c>
      <c r="E87">
        <v>5.8999999999999999E-3</v>
      </c>
      <c r="F87">
        <v>5.8999999999999999E-3</v>
      </c>
      <c r="G87">
        <v>2.0000000000000001E-4</v>
      </c>
      <c r="H87">
        <v>2.7300000000000001E-2</v>
      </c>
      <c r="I87">
        <v>0.30070000000000002</v>
      </c>
      <c r="J87">
        <v>1.1999999999999999E-3</v>
      </c>
      <c r="K87">
        <v>8.0000000000000002E-3</v>
      </c>
      <c r="L87">
        <v>5.5100000000000003E-2</v>
      </c>
      <c r="M87">
        <v>5.5100000000000003E-2</v>
      </c>
      <c r="N87">
        <v>1.9E-3</v>
      </c>
      <c r="O87">
        <v>0.22539999999999999</v>
      </c>
      <c r="P87">
        <v>0.33700000000000002</v>
      </c>
      <c r="Q87">
        <v>1.4E-3</v>
      </c>
      <c r="R87">
        <v>8.9999999999999993E-3</v>
      </c>
      <c r="S87">
        <v>6.1100000000000002E-2</v>
      </c>
      <c r="T87">
        <v>6.1100000000000002E-2</v>
      </c>
      <c r="U87">
        <v>2.0999999999999999E-3</v>
      </c>
      <c r="V87">
        <v>0.25259999999999999</v>
      </c>
      <c r="W87" s="4" t="s">
        <v>134</v>
      </c>
      <c r="X87" s="4" t="s">
        <v>116</v>
      </c>
    </row>
    <row r="89" spans="1:24" x14ac:dyDescent="0.25">
      <c r="B89" s="80">
        <f>SUMIFS(B70:B87,$X70:$X87,$X89)/B69</f>
        <v>0.9979704262104957</v>
      </c>
      <c r="C89" s="80">
        <f t="shared" ref="C89:V89" si="4">SUMIFS(C70:C87,$X70:$X87,$X89)/C69</f>
        <v>0.97368421052631582</v>
      </c>
      <c r="D89" s="80">
        <f t="shared" si="4"/>
        <v>0.26394984326018811</v>
      </c>
      <c r="E89" s="80">
        <f t="shared" si="4"/>
        <v>0.97645904855321242</v>
      </c>
      <c r="F89" s="80">
        <f t="shared" si="4"/>
        <v>0.97645904855321242</v>
      </c>
      <c r="G89" s="80">
        <f t="shared" si="4"/>
        <v>2.7815013404825738E-2</v>
      </c>
      <c r="H89" s="80">
        <f t="shared" si="4"/>
        <v>0.98449278483738956</v>
      </c>
      <c r="I89" s="80">
        <f t="shared" si="4"/>
        <v>0.98829475399923772</v>
      </c>
      <c r="J89" s="81">
        <f t="shared" si="4"/>
        <v>0.60962072155411673</v>
      </c>
      <c r="K89" s="81">
        <f t="shared" si="4"/>
        <v>0.10294249977503825</v>
      </c>
      <c r="L89" s="80">
        <f t="shared" si="4"/>
        <v>0.95379537953795357</v>
      </c>
      <c r="M89" s="81">
        <f t="shared" si="4"/>
        <v>0.95379537953795357</v>
      </c>
      <c r="N89" s="81">
        <f t="shared" si="4"/>
        <v>1.1012745986880698E-2</v>
      </c>
      <c r="O89" s="81">
        <f t="shared" si="4"/>
        <v>0.98262192802252135</v>
      </c>
      <c r="P89" s="80">
        <f t="shared" si="4"/>
        <v>0.98961411708650771</v>
      </c>
      <c r="Q89" s="81">
        <f t="shared" si="4"/>
        <v>0.63180639585133969</v>
      </c>
      <c r="R89" s="81">
        <f t="shared" si="4"/>
        <v>0.11368120565887245</v>
      </c>
      <c r="S89" s="80">
        <f t="shared" si="4"/>
        <v>0.95616369570675364</v>
      </c>
      <c r="T89" s="81">
        <f t="shared" si="4"/>
        <v>0.95616369570675364</v>
      </c>
      <c r="U89" s="81">
        <f t="shared" si="4"/>
        <v>1.2300548337696979E-2</v>
      </c>
      <c r="V89" s="81">
        <f t="shared" si="4"/>
        <v>0.98271696182381552</v>
      </c>
      <c r="X89" s="4" t="s">
        <v>116</v>
      </c>
    </row>
    <row r="90" spans="1:24" x14ac:dyDescent="0.25">
      <c r="B90" s="80">
        <f>SUMIFS(B70:B87,$X70:$X87,$X90)/B69</f>
        <v>1.9053141697386406E-3</v>
      </c>
      <c r="C90" s="80">
        <f t="shared" ref="C90:V90" si="5">SUMIFS(C70:C87,$X70:$X87,$X90)/C69</f>
        <v>2.6315789473684213E-2</v>
      </c>
      <c r="D90" s="80">
        <f t="shared" si="5"/>
        <v>0.73605015673981189</v>
      </c>
      <c r="E90" s="80">
        <f t="shared" si="5"/>
        <v>2.3050514958312895E-2</v>
      </c>
      <c r="F90" s="80">
        <f t="shared" si="5"/>
        <v>2.3050514958312895E-2</v>
      </c>
      <c r="G90" s="80">
        <f t="shared" si="5"/>
        <v>0.97117962466487939</v>
      </c>
      <c r="H90" s="80">
        <f t="shared" si="5"/>
        <v>1.5722593150979972E-2</v>
      </c>
      <c r="I90" s="80">
        <f t="shared" si="5"/>
        <v>4.1602586852793871E-3</v>
      </c>
      <c r="J90" s="81">
        <f t="shared" si="5"/>
        <v>3.2377428307123035E-2</v>
      </c>
      <c r="K90" s="81">
        <f t="shared" si="5"/>
        <v>0.79847925852605073</v>
      </c>
      <c r="L90" s="80">
        <f t="shared" si="5"/>
        <v>3.6023941377188562E-2</v>
      </c>
      <c r="M90" s="81">
        <f t="shared" si="5"/>
        <v>3.6023941377188562E-2</v>
      </c>
      <c r="N90" s="81">
        <f t="shared" si="5"/>
        <v>0.98314756546317539</v>
      </c>
      <c r="O90" s="81">
        <f t="shared" si="5"/>
        <v>1.5323746481016509E-2</v>
      </c>
      <c r="P90" s="80">
        <f t="shared" si="5"/>
        <v>3.8457829685133609E-3</v>
      </c>
      <c r="Q90" s="81">
        <f t="shared" si="5"/>
        <v>3.1979256698357827E-2</v>
      </c>
      <c r="R90" s="81">
        <f t="shared" si="5"/>
        <v>0.79429914781075528</v>
      </c>
      <c r="S90" s="80">
        <f t="shared" si="5"/>
        <v>3.4697464222947526E-2</v>
      </c>
      <c r="T90" s="81">
        <f t="shared" si="5"/>
        <v>3.4697464222947526E-2</v>
      </c>
      <c r="U90" s="81">
        <f t="shared" si="5"/>
        <v>0.98226547448500701</v>
      </c>
      <c r="V90" s="81">
        <f t="shared" si="5"/>
        <v>1.5350066801216635E-2</v>
      </c>
      <c r="X90" s="4" t="s">
        <v>115</v>
      </c>
    </row>
    <row r="91" spans="1:24" x14ac:dyDescent="0.25">
      <c r="B91" s="80">
        <f>SUMIFS(B70:B87,$X70:$X87,$X91)/B69</f>
        <v>1.2425961976556354E-4</v>
      </c>
      <c r="C91" s="80">
        <f t="shared" ref="C91:V91" si="6">SUMIFS(C70:C87,$X70:$X87,$X91)/C69</f>
        <v>0</v>
      </c>
      <c r="D91" s="80">
        <f t="shared" si="6"/>
        <v>0</v>
      </c>
      <c r="E91" s="80">
        <f t="shared" si="6"/>
        <v>0</v>
      </c>
      <c r="F91" s="80">
        <f t="shared" si="6"/>
        <v>0</v>
      </c>
      <c r="G91" s="80">
        <f t="shared" si="6"/>
        <v>0</v>
      </c>
      <c r="H91" s="80">
        <f t="shared" si="6"/>
        <v>0</v>
      </c>
      <c r="I91" s="80">
        <f t="shared" si="6"/>
        <v>2.0768431983385254E-3</v>
      </c>
      <c r="J91" s="81">
        <f t="shared" si="6"/>
        <v>2.7752081406105457E-3</v>
      </c>
      <c r="K91" s="81">
        <f t="shared" si="6"/>
        <v>5.3990821560334753E-4</v>
      </c>
      <c r="L91" s="80">
        <f t="shared" si="6"/>
        <v>1.1187559433909493E-3</v>
      </c>
      <c r="M91" s="81">
        <f t="shared" si="6"/>
        <v>1.1187559433909493E-3</v>
      </c>
      <c r="N91" s="81">
        <f t="shared" si="6"/>
        <v>6.1330062396672172E-4</v>
      </c>
      <c r="O91" s="81">
        <f t="shared" si="6"/>
        <v>3.6521342159324353E-4</v>
      </c>
      <c r="P91" s="80">
        <f t="shared" si="6"/>
        <v>1.8151188051980466E-3</v>
      </c>
      <c r="Q91" s="81">
        <f t="shared" si="6"/>
        <v>2.5929127052722557E-3</v>
      </c>
      <c r="R91" s="81">
        <f t="shared" si="6"/>
        <v>5.0375718903488526E-4</v>
      </c>
      <c r="S91" s="80">
        <f t="shared" si="6"/>
        <v>1.0042681395932714E-3</v>
      </c>
      <c r="T91" s="81">
        <f t="shared" si="6"/>
        <v>1.0042681395932714E-3</v>
      </c>
      <c r="U91" s="81">
        <f t="shared" si="6"/>
        <v>5.680976139900212E-4</v>
      </c>
      <c r="V91" s="81">
        <f t="shared" si="6"/>
        <v>3.4111259558259184E-4</v>
      </c>
      <c r="X91" s="4" t="s">
        <v>114</v>
      </c>
    </row>
    <row r="92" spans="1:24" x14ac:dyDescent="0.25">
      <c r="B92" s="80">
        <f>SUMIFS(B70:B87,$X70:$X87,$X92)/B69</f>
        <v>0</v>
      </c>
      <c r="C92" s="80">
        <f t="shared" ref="C92:V92" si="7">SUMIFS(C70:C87,$X70:$X87,$X92)/C69</f>
        <v>0</v>
      </c>
      <c r="D92" s="80">
        <f t="shared" si="7"/>
        <v>0</v>
      </c>
      <c r="E92" s="80">
        <f t="shared" si="7"/>
        <v>0</v>
      </c>
      <c r="F92" s="80">
        <f t="shared" si="7"/>
        <v>0</v>
      </c>
      <c r="G92" s="80">
        <f t="shared" si="7"/>
        <v>0</v>
      </c>
      <c r="H92" s="80">
        <f t="shared" si="7"/>
        <v>0</v>
      </c>
      <c r="I92" s="80">
        <f t="shared" si="7"/>
        <v>5.4681441171444715E-3</v>
      </c>
      <c r="J92" s="81">
        <f t="shared" si="7"/>
        <v>0.35615171137835339</v>
      </c>
      <c r="K92" s="81">
        <f t="shared" si="7"/>
        <v>9.7993341132007569E-2</v>
      </c>
      <c r="L92" s="80">
        <f t="shared" si="7"/>
        <v>9.0619231414666886E-3</v>
      </c>
      <c r="M92" s="81">
        <f t="shared" si="7"/>
        <v>9.0619231414666886E-3</v>
      </c>
      <c r="N92" s="81">
        <f t="shared" si="7"/>
        <v>5.2797184150178656E-3</v>
      </c>
      <c r="O92" s="81">
        <f t="shared" si="7"/>
        <v>1.6891120748687514E-3</v>
      </c>
      <c r="P92" s="80">
        <f t="shared" si="7"/>
        <v>4.7193088935149211E-3</v>
      </c>
      <c r="Q92" s="81">
        <f t="shared" si="7"/>
        <v>0.33275713050993949</v>
      </c>
      <c r="R92" s="81">
        <f t="shared" si="7"/>
        <v>9.1431929809831669E-2</v>
      </c>
      <c r="S92" s="80">
        <f t="shared" si="7"/>
        <v>8.1345719307054972E-3</v>
      </c>
      <c r="T92" s="81">
        <f t="shared" si="7"/>
        <v>8.1345719307054972E-3</v>
      </c>
      <c r="U92" s="81">
        <f t="shared" si="7"/>
        <v>4.8905794595662687E-3</v>
      </c>
      <c r="V92" s="81">
        <f t="shared" si="7"/>
        <v>1.5776457545694875E-3</v>
      </c>
      <c r="X92" s="4" t="s">
        <v>113</v>
      </c>
    </row>
  </sheetData>
  <sheetProtection algorithmName="SHA-512" hashValue="V5JO7E0qHL0dXWaeVOfpuSJtjzGKBfEvZVS8htIWXOxWGyXOUaAyyp/TdSC5TKOJvsHTPrcsk/lTz7ncxk16fA==" saltValue="k4+oo8J3bDypgTzyhw4sBg==" spinCount="100000" sheet="1" objects="1" scenarios="1"/>
  <mergeCells count="6">
    <mergeCell ref="B67:H67"/>
    <mergeCell ref="I67:O67"/>
    <mergeCell ref="P67:V67"/>
    <mergeCell ref="B5:H5"/>
    <mergeCell ref="I5:O5"/>
    <mergeCell ref="P5:V5"/>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FE934-F4B4-4F2E-BEA5-42724FB25205}">
  <sheetPr codeName="Sheet24"/>
  <dimension ref="A2:X92"/>
  <sheetViews>
    <sheetView workbookViewId="0"/>
  </sheetViews>
  <sheetFormatPr defaultRowHeight="15" x14ac:dyDescent="0.25"/>
  <cols>
    <col min="1" max="1" width="13" customWidth="1"/>
    <col min="23" max="23" width="11.85546875" customWidth="1"/>
  </cols>
  <sheetData>
    <row r="2" spans="1:24" x14ac:dyDescent="0.25">
      <c r="A2" t="s">
        <v>194</v>
      </c>
    </row>
    <row r="3" spans="1:24" x14ac:dyDescent="0.25">
      <c r="A3" s="77" t="s">
        <v>195</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2.6202999999999999</v>
      </c>
      <c r="C7">
        <v>8.0999999999999996E-3</v>
      </c>
      <c r="D7">
        <v>0.16170000000000001</v>
      </c>
      <c r="E7">
        <v>0.2203</v>
      </c>
      <c r="F7">
        <v>0.2203</v>
      </c>
      <c r="G7">
        <v>0.29530000000000001</v>
      </c>
      <c r="H7">
        <v>0.49730000000000002</v>
      </c>
      <c r="I7">
        <v>16.514700000000001</v>
      </c>
      <c r="J7">
        <v>0.1137</v>
      </c>
      <c r="K7">
        <v>2.2532000000000001</v>
      </c>
      <c r="L7">
        <v>1.8025</v>
      </c>
      <c r="M7">
        <v>1.8025</v>
      </c>
      <c r="N7">
        <v>3.7425999999999999</v>
      </c>
      <c r="O7">
        <v>7.1083999999999996</v>
      </c>
      <c r="P7">
        <v>19.135000000000002</v>
      </c>
      <c r="Q7">
        <v>0.12189999999999999</v>
      </c>
      <c r="R7">
        <v>2.415</v>
      </c>
      <c r="S7">
        <v>2.0228999999999999</v>
      </c>
      <c r="T7">
        <v>2.0228999999999999</v>
      </c>
      <c r="U7">
        <v>4.0380000000000003</v>
      </c>
      <c r="V7">
        <v>7.6056999999999997</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6.7999999999999996E-3</v>
      </c>
      <c r="E10">
        <v>2.0000000000000001E-4</v>
      </c>
      <c r="F10">
        <v>2.0000000000000001E-4</v>
      </c>
      <c r="G10">
        <v>4.7999999999999996E-3</v>
      </c>
      <c r="H10">
        <v>2.9999999999999997E-4</v>
      </c>
      <c r="I10">
        <v>1.2800000000000001E-2</v>
      </c>
      <c r="J10">
        <v>6.9999999999999999E-4</v>
      </c>
      <c r="K10">
        <v>0.5131</v>
      </c>
      <c r="L10">
        <v>1.2999999999999999E-2</v>
      </c>
      <c r="M10">
        <v>1.2999999999999999E-2</v>
      </c>
      <c r="N10">
        <v>0.38159999999999999</v>
      </c>
      <c r="O10">
        <v>2.0299999999999999E-2</v>
      </c>
      <c r="P10">
        <v>1.29E-2</v>
      </c>
      <c r="Q10">
        <v>6.9999999999999999E-4</v>
      </c>
      <c r="R10">
        <v>0.51990000000000003</v>
      </c>
      <c r="S10">
        <v>1.32E-2</v>
      </c>
      <c r="T10">
        <v>1.32E-2</v>
      </c>
      <c r="U10">
        <v>0.38629999999999998</v>
      </c>
      <c r="V10">
        <v>2.06E-2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2.7699999999999999E-2</v>
      </c>
      <c r="J13">
        <v>2.9999999999999997E-4</v>
      </c>
      <c r="K13">
        <v>1E-3</v>
      </c>
      <c r="L13">
        <v>1.6999999999999999E-3</v>
      </c>
      <c r="M13">
        <v>1.6999999999999999E-3</v>
      </c>
      <c r="N13">
        <v>2E-3</v>
      </c>
      <c r="O13">
        <v>2.0999999999999999E-3</v>
      </c>
      <c r="P13">
        <v>2.7799999999999998E-2</v>
      </c>
      <c r="Q13">
        <v>2.9999999999999997E-4</v>
      </c>
      <c r="R13">
        <v>1E-3</v>
      </c>
      <c r="S13">
        <v>1.6999999999999999E-3</v>
      </c>
      <c r="T13">
        <v>1.6999999999999999E-3</v>
      </c>
      <c r="U13">
        <v>2E-3</v>
      </c>
      <c r="V13">
        <v>2.0999999999999999E-3</v>
      </c>
      <c r="W13" s="4" t="s">
        <v>122</v>
      </c>
      <c r="X13" s="4" t="s">
        <v>114</v>
      </c>
    </row>
    <row r="14" spans="1:24" x14ac:dyDescent="0.25">
      <c r="A14" s="4">
        <v>2104004000</v>
      </c>
      <c r="B14">
        <v>4.4000000000000003E-3</v>
      </c>
      <c r="C14">
        <v>2.0000000000000001E-4</v>
      </c>
      <c r="D14">
        <v>0.10920000000000001</v>
      </c>
      <c r="E14">
        <v>4.4000000000000003E-3</v>
      </c>
      <c r="F14">
        <v>4.4000000000000003E-3</v>
      </c>
      <c r="G14">
        <v>0.28129999999999999</v>
      </c>
      <c r="H14">
        <v>6.8999999999999999E-3</v>
      </c>
      <c r="I14">
        <v>5.0799999999999998E-2</v>
      </c>
      <c r="J14">
        <v>2.8E-3</v>
      </c>
      <c r="K14">
        <v>1.2722</v>
      </c>
      <c r="L14">
        <v>5.1700000000000003E-2</v>
      </c>
      <c r="M14">
        <v>5.1700000000000003E-2</v>
      </c>
      <c r="N14">
        <v>3.2915000000000001</v>
      </c>
      <c r="O14">
        <v>8.0799999999999997E-2</v>
      </c>
      <c r="P14">
        <v>5.5100000000000003E-2</v>
      </c>
      <c r="Q14">
        <v>3.0000000000000001E-3</v>
      </c>
      <c r="R14">
        <v>1.3814</v>
      </c>
      <c r="S14">
        <v>5.62E-2</v>
      </c>
      <c r="T14">
        <v>5.62E-2</v>
      </c>
      <c r="U14">
        <v>3.5728</v>
      </c>
      <c r="V14">
        <v>8.7800000000000003E-2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9.5899999999999999E-2</v>
      </c>
      <c r="C16">
        <v>6.9999999999999999E-4</v>
      </c>
      <c r="D16">
        <v>1E-3</v>
      </c>
      <c r="E16">
        <v>1.3100000000000001E-2</v>
      </c>
      <c r="F16">
        <v>1.3100000000000001E-2</v>
      </c>
      <c r="G16">
        <v>2.0000000000000001E-4</v>
      </c>
      <c r="H16">
        <v>8.6900000000000005E-2</v>
      </c>
      <c r="I16">
        <v>5.7377000000000002</v>
      </c>
      <c r="J16">
        <v>4.0899999999999999E-2</v>
      </c>
      <c r="K16">
        <v>5.91E-2</v>
      </c>
      <c r="L16">
        <v>0.81840000000000002</v>
      </c>
      <c r="M16">
        <v>0.81840000000000002</v>
      </c>
      <c r="N16">
        <v>9.1000000000000004E-3</v>
      </c>
      <c r="O16">
        <v>5.2016999999999998</v>
      </c>
      <c r="P16">
        <v>5.8335999999999997</v>
      </c>
      <c r="Q16">
        <v>4.1599999999999998E-2</v>
      </c>
      <c r="R16">
        <v>0.06</v>
      </c>
      <c r="S16">
        <v>0.83150000000000002</v>
      </c>
      <c r="T16">
        <v>0.83150000000000002</v>
      </c>
      <c r="U16">
        <v>9.1999999999999998E-3</v>
      </c>
      <c r="V16">
        <v>5.2885</v>
      </c>
      <c r="W16" s="4" t="s">
        <v>125</v>
      </c>
      <c r="X16" s="4" t="s">
        <v>116</v>
      </c>
    </row>
    <row r="17" spans="1:24" x14ac:dyDescent="0.25">
      <c r="A17" s="4">
        <v>2104008210</v>
      </c>
      <c r="B17">
        <v>6.1899999999999997E-2</v>
      </c>
      <c r="C17">
        <v>5.0000000000000001E-4</v>
      </c>
      <c r="D17">
        <v>8.0000000000000004E-4</v>
      </c>
      <c r="E17">
        <v>8.2000000000000007E-3</v>
      </c>
      <c r="F17">
        <v>8.2000000000000007E-3</v>
      </c>
      <c r="G17">
        <v>1E-4</v>
      </c>
      <c r="H17">
        <v>1.4200000000000001E-2</v>
      </c>
      <c r="I17">
        <v>0.25629999999999997</v>
      </c>
      <c r="J17">
        <v>1.9E-3</v>
      </c>
      <c r="K17">
        <v>3.0999999999999999E-3</v>
      </c>
      <c r="L17">
        <v>3.5400000000000001E-2</v>
      </c>
      <c r="M17">
        <v>3.5400000000000001E-2</v>
      </c>
      <c r="N17">
        <v>4.0000000000000002E-4</v>
      </c>
      <c r="O17">
        <v>5.8900000000000001E-2</v>
      </c>
      <c r="P17">
        <v>0.31819999999999998</v>
      </c>
      <c r="Q17">
        <v>2.3E-3</v>
      </c>
      <c r="R17">
        <v>3.8999999999999998E-3</v>
      </c>
      <c r="S17">
        <v>4.36E-2</v>
      </c>
      <c r="T17">
        <v>4.36E-2</v>
      </c>
      <c r="U17">
        <v>5.9999999999999995E-4</v>
      </c>
      <c r="V17">
        <v>7.3099999999999998E-2</v>
      </c>
      <c r="W17" s="4" t="s">
        <v>126</v>
      </c>
      <c r="X17" s="4" t="s">
        <v>116</v>
      </c>
    </row>
    <row r="18" spans="1:24" x14ac:dyDescent="0.25">
      <c r="A18" s="4">
        <v>2104008220</v>
      </c>
      <c r="B18">
        <v>0.1116</v>
      </c>
      <c r="C18">
        <v>6.9999999999999999E-4</v>
      </c>
      <c r="D18">
        <v>1.6000000000000001E-3</v>
      </c>
      <c r="E18">
        <v>9.4999999999999998E-3</v>
      </c>
      <c r="F18">
        <v>9.4999999999999998E-3</v>
      </c>
      <c r="G18">
        <v>2.9999999999999997E-4</v>
      </c>
      <c r="H18">
        <v>9.4999999999999998E-3</v>
      </c>
      <c r="I18">
        <v>0.46210000000000001</v>
      </c>
      <c r="J18">
        <v>3.0000000000000001E-3</v>
      </c>
      <c r="K18">
        <v>6.6E-3</v>
      </c>
      <c r="L18">
        <v>4.1000000000000002E-2</v>
      </c>
      <c r="M18">
        <v>4.1000000000000002E-2</v>
      </c>
      <c r="N18">
        <v>1.2999999999999999E-3</v>
      </c>
      <c r="O18">
        <v>3.9399999999999998E-2</v>
      </c>
      <c r="P18">
        <v>0.5736</v>
      </c>
      <c r="Q18">
        <v>3.7000000000000002E-3</v>
      </c>
      <c r="R18">
        <v>8.0999999999999996E-3</v>
      </c>
      <c r="S18">
        <v>5.0500000000000003E-2</v>
      </c>
      <c r="T18">
        <v>5.0500000000000003E-2</v>
      </c>
      <c r="U18">
        <v>1.6000000000000001E-3</v>
      </c>
      <c r="V18">
        <v>4.8899999999999999E-2</v>
      </c>
      <c r="W18" s="4" t="s">
        <v>127</v>
      </c>
      <c r="X18" s="4" t="s">
        <v>116</v>
      </c>
    </row>
    <row r="19" spans="1:24" x14ac:dyDescent="0.25">
      <c r="A19" s="4">
        <v>2104008230</v>
      </c>
      <c r="B19">
        <v>0.1158</v>
      </c>
      <c r="C19">
        <v>1E-3</v>
      </c>
      <c r="D19">
        <v>2.2000000000000001E-3</v>
      </c>
      <c r="E19">
        <v>1.41E-2</v>
      </c>
      <c r="F19">
        <v>1.41E-2</v>
      </c>
      <c r="G19">
        <v>4.0000000000000002E-4</v>
      </c>
      <c r="H19">
        <v>1.6199999999999999E-2</v>
      </c>
      <c r="I19">
        <v>0.47960000000000003</v>
      </c>
      <c r="J19">
        <v>4.0000000000000001E-3</v>
      </c>
      <c r="K19">
        <v>8.9999999999999993E-3</v>
      </c>
      <c r="L19">
        <v>6.0699999999999997E-2</v>
      </c>
      <c r="M19">
        <v>6.0699999999999997E-2</v>
      </c>
      <c r="N19">
        <v>1.8E-3</v>
      </c>
      <c r="O19">
        <v>6.7199999999999996E-2</v>
      </c>
      <c r="P19">
        <v>0.59540000000000004</v>
      </c>
      <c r="Q19">
        <v>5.0000000000000001E-3</v>
      </c>
      <c r="R19">
        <v>1.11E-2</v>
      </c>
      <c r="S19">
        <v>7.4800000000000005E-2</v>
      </c>
      <c r="T19">
        <v>7.4800000000000005E-2</v>
      </c>
      <c r="U19">
        <v>2.2000000000000001E-3</v>
      </c>
      <c r="V19">
        <v>8.3500000000000005E-2</v>
      </c>
      <c r="W19" s="4" t="s">
        <v>128</v>
      </c>
      <c r="X19" s="4" t="s">
        <v>116</v>
      </c>
    </row>
    <row r="20" spans="1:24" x14ac:dyDescent="0.25">
      <c r="A20" s="4">
        <v>2104008310</v>
      </c>
      <c r="B20">
        <v>0.26579999999999998</v>
      </c>
      <c r="C20">
        <v>8.9999999999999998E-4</v>
      </c>
      <c r="D20">
        <v>3.2000000000000002E-3</v>
      </c>
      <c r="E20">
        <v>2.6599999999999999E-2</v>
      </c>
      <c r="F20">
        <v>2.6599999999999999E-2</v>
      </c>
      <c r="G20">
        <v>8.9999999999999998E-4</v>
      </c>
      <c r="H20">
        <v>0.1163</v>
      </c>
      <c r="I20">
        <v>1.1009</v>
      </c>
      <c r="J20">
        <v>3.5999999999999999E-3</v>
      </c>
      <c r="K20">
        <v>1.32E-2</v>
      </c>
      <c r="L20">
        <v>0.1149</v>
      </c>
      <c r="M20">
        <v>0.1149</v>
      </c>
      <c r="N20">
        <v>3.5999999999999999E-3</v>
      </c>
      <c r="O20">
        <v>0.48149999999999998</v>
      </c>
      <c r="P20">
        <v>1.3668</v>
      </c>
      <c r="Q20">
        <v>4.4999999999999997E-3</v>
      </c>
      <c r="R20">
        <v>1.6400000000000001E-2</v>
      </c>
      <c r="S20">
        <v>0.14149999999999999</v>
      </c>
      <c r="T20">
        <v>0.14149999999999999</v>
      </c>
      <c r="U20">
        <v>4.4999999999999997E-3</v>
      </c>
      <c r="V20">
        <v>0.5978</v>
      </c>
      <c r="W20" s="4" t="s">
        <v>129</v>
      </c>
      <c r="X20" s="4" t="s">
        <v>116</v>
      </c>
    </row>
    <row r="21" spans="1:24" x14ac:dyDescent="0.25">
      <c r="A21" s="4">
        <v>2104008320</v>
      </c>
      <c r="B21">
        <v>0.80159999999999998</v>
      </c>
      <c r="C21">
        <v>1.6000000000000001E-3</v>
      </c>
      <c r="D21">
        <v>1.04E-2</v>
      </c>
      <c r="E21">
        <v>5.1400000000000001E-2</v>
      </c>
      <c r="F21">
        <v>5.1400000000000001E-2</v>
      </c>
      <c r="G21">
        <v>2.5999999999999999E-3</v>
      </c>
      <c r="H21">
        <v>7.7799999999999994E-2</v>
      </c>
      <c r="I21">
        <v>3.3195999999999999</v>
      </c>
      <c r="J21">
        <v>6.7000000000000002E-3</v>
      </c>
      <c r="K21">
        <v>4.3200000000000002E-2</v>
      </c>
      <c r="L21">
        <v>0.22159999999999999</v>
      </c>
      <c r="M21">
        <v>0.22159999999999999</v>
      </c>
      <c r="N21">
        <v>1.0699999999999999E-2</v>
      </c>
      <c r="O21">
        <v>0.32219999999999999</v>
      </c>
      <c r="P21">
        <v>4.1212999999999997</v>
      </c>
      <c r="Q21">
        <v>8.3000000000000001E-3</v>
      </c>
      <c r="R21">
        <v>5.3600000000000002E-2</v>
      </c>
      <c r="S21">
        <v>0.27300000000000002</v>
      </c>
      <c r="T21">
        <v>0.27300000000000002</v>
      </c>
      <c r="U21">
        <v>1.3299999999999999E-2</v>
      </c>
      <c r="V21">
        <v>0.4</v>
      </c>
      <c r="W21" s="4" t="s">
        <v>130</v>
      </c>
      <c r="X21" s="4" t="s">
        <v>116</v>
      </c>
    </row>
    <row r="22" spans="1:24" x14ac:dyDescent="0.25">
      <c r="A22" s="4">
        <v>2104008330</v>
      </c>
      <c r="B22">
        <v>1.0949</v>
      </c>
      <c r="C22">
        <v>2.2000000000000001E-3</v>
      </c>
      <c r="D22">
        <v>1.4200000000000001E-2</v>
      </c>
      <c r="E22">
        <v>7.7899999999999997E-2</v>
      </c>
      <c r="F22">
        <v>7.7899999999999997E-2</v>
      </c>
      <c r="G22">
        <v>3.5000000000000001E-3</v>
      </c>
      <c r="H22">
        <v>0.1328</v>
      </c>
      <c r="I22">
        <v>4.5343</v>
      </c>
      <c r="J22">
        <v>9.1999999999999998E-3</v>
      </c>
      <c r="K22">
        <v>5.8999999999999997E-2</v>
      </c>
      <c r="L22">
        <v>0.33579999999999999</v>
      </c>
      <c r="M22">
        <v>0.33579999999999999</v>
      </c>
      <c r="N22">
        <v>1.47E-2</v>
      </c>
      <c r="O22">
        <v>0.55010000000000003</v>
      </c>
      <c r="P22">
        <v>5.6292999999999997</v>
      </c>
      <c r="Q22">
        <v>1.14E-2</v>
      </c>
      <c r="R22">
        <v>7.3200000000000001E-2</v>
      </c>
      <c r="S22">
        <v>0.41370000000000001</v>
      </c>
      <c r="T22">
        <v>0.41370000000000001</v>
      </c>
      <c r="U22">
        <v>1.8200000000000001E-2</v>
      </c>
      <c r="V22">
        <v>0.68289999999999995</v>
      </c>
      <c r="W22" s="4" t="s">
        <v>131</v>
      </c>
      <c r="X22" s="4" t="s">
        <v>116</v>
      </c>
    </row>
    <row r="23" spans="1:24" x14ac:dyDescent="0.25">
      <c r="A23" s="4">
        <v>2104008410</v>
      </c>
      <c r="B23">
        <v>3.5000000000000001E-3</v>
      </c>
      <c r="C23">
        <v>0</v>
      </c>
      <c r="D23">
        <v>1.4E-3</v>
      </c>
      <c r="E23">
        <v>1.1000000000000001E-3</v>
      </c>
      <c r="F23">
        <v>1.1000000000000001E-3</v>
      </c>
      <c r="G23">
        <v>1E-4</v>
      </c>
      <c r="H23">
        <v>8.0000000000000004E-4</v>
      </c>
      <c r="I23">
        <v>1.46E-2</v>
      </c>
      <c r="J23">
        <v>1E-4</v>
      </c>
      <c r="K23">
        <v>5.8999999999999999E-3</v>
      </c>
      <c r="L23">
        <v>4.4999999999999997E-3</v>
      </c>
      <c r="M23">
        <v>4.4999999999999997E-3</v>
      </c>
      <c r="N23">
        <v>5.0000000000000001E-4</v>
      </c>
      <c r="O23">
        <v>3.3999999999999998E-3</v>
      </c>
      <c r="P23">
        <v>1.8100000000000002E-2</v>
      </c>
      <c r="Q23">
        <v>1E-4</v>
      </c>
      <c r="R23">
        <v>7.3000000000000001E-3</v>
      </c>
      <c r="S23">
        <v>5.5999999999999999E-3</v>
      </c>
      <c r="T23">
        <v>5.5999999999999999E-3</v>
      </c>
      <c r="U23">
        <v>5.9999999999999995E-4</v>
      </c>
      <c r="V23">
        <v>4.1999999999999997E-3</v>
      </c>
      <c r="W23" s="4" t="s">
        <v>132</v>
      </c>
      <c r="X23" s="4" t="s">
        <v>116</v>
      </c>
    </row>
    <row r="24" spans="1:24" x14ac:dyDescent="0.25">
      <c r="A24" s="4">
        <v>2104008420</v>
      </c>
      <c r="B24">
        <v>2.46E-2</v>
      </c>
      <c r="C24">
        <v>2.0000000000000001E-4</v>
      </c>
      <c r="D24">
        <v>9.9000000000000008E-3</v>
      </c>
      <c r="E24">
        <v>7.3000000000000001E-3</v>
      </c>
      <c r="F24">
        <v>7.3000000000000001E-3</v>
      </c>
      <c r="G24">
        <v>8.0000000000000004E-4</v>
      </c>
      <c r="H24">
        <v>5.7000000000000002E-3</v>
      </c>
      <c r="I24">
        <v>0.1021</v>
      </c>
      <c r="J24">
        <v>6.9999999999999999E-4</v>
      </c>
      <c r="K24">
        <v>4.1099999999999998E-2</v>
      </c>
      <c r="L24">
        <v>3.1699999999999999E-2</v>
      </c>
      <c r="M24">
        <v>3.1699999999999999E-2</v>
      </c>
      <c r="N24">
        <v>3.3E-3</v>
      </c>
      <c r="O24">
        <v>2.3599999999999999E-2</v>
      </c>
      <c r="P24">
        <v>0.12670000000000001</v>
      </c>
      <c r="Q24">
        <v>8.9999999999999998E-4</v>
      </c>
      <c r="R24">
        <v>5.11E-2</v>
      </c>
      <c r="S24">
        <v>3.9E-2</v>
      </c>
      <c r="T24">
        <v>3.9E-2</v>
      </c>
      <c r="U24">
        <v>4.1000000000000003E-3</v>
      </c>
      <c r="V24">
        <v>2.93E-2</v>
      </c>
      <c r="W24" s="4" t="s">
        <v>133</v>
      </c>
      <c r="X24" s="4" t="s">
        <v>116</v>
      </c>
    </row>
    <row r="25" spans="1:24" x14ac:dyDescent="0.25">
      <c r="A25" s="4">
        <v>2104008610</v>
      </c>
      <c r="B25">
        <v>3.95E-2</v>
      </c>
      <c r="C25">
        <v>2.0000000000000001E-4</v>
      </c>
      <c r="D25">
        <v>1.1000000000000001E-3</v>
      </c>
      <c r="E25">
        <v>6.4000000000000003E-3</v>
      </c>
      <c r="F25">
        <v>6.4000000000000003E-3</v>
      </c>
      <c r="G25">
        <v>2.9999999999999997E-4</v>
      </c>
      <c r="H25">
        <v>2.9600000000000001E-2</v>
      </c>
      <c r="I25">
        <v>0.32690000000000002</v>
      </c>
      <c r="J25">
        <v>1.2999999999999999E-3</v>
      </c>
      <c r="K25">
        <v>8.6999999999999994E-3</v>
      </c>
      <c r="L25">
        <v>5.5500000000000001E-2</v>
      </c>
      <c r="M25">
        <v>5.5500000000000001E-2</v>
      </c>
      <c r="N25">
        <v>2.2000000000000001E-3</v>
      </c>
      <c r="O25">
        <v>0.245</v>
      </c>
      <c r="P25">
        <v>0.3664</v>
      </c>
      <c r="Q25">
        <v>1.5E-3</v>
      </c>
      <c r="R25">
        <v>9.7999999999999997E-3</v>
      </c>
      <c r="S25">
        <v>6.1899999999999997E-2</v>
      </c>
      <c r="T25">
        <v>6.1899999999999997E-2</v>
      </c>
      <c r="U25">
        <v>2.3999999999999998E-3</v>
      </c>
      <c r="V25">
        <v>0.27460000000000001</v>
      </c>
      <c r="W25" s="4" t="s">
        <v>134</v>
      </c>
      <c r="X25" s="4" t="s">
        <v>116</v>
      </c>
    </row>
    <row r="26" spans="1:24" x14ac:dyDescent="0.25">
      <c r="X26" s="4"/>
    </row>
    <row r="27" spans="1:24" x14ac:dyDescent="0.25">
      <c r="B27" s="79">
        <f>SUMIFS(B8:B25,$X8:$X25,$X27)/B7</f>
        <v>0.99812998511620799</v>
      </c>
      <c r="C27" s="79">
        <f t="shared" ref="C27:V27" si="0">SUMIFS(C8:C25,$X8:$X25,$X27)/C7</f>
        <v>0.98765432098765438</v>
      </c>
      <c r="D27" s="79">
        <f t="shared" si="0"/>
        <v>0.28324056895485461</v>
      </c>
      <c r="E27" s="79">
        <f t="shared" si="0"/>
        <v>0.97866545619609624</v>
      </c>
      <c r="F27" s="79">
        <f t="shared" si="0"/>
        <v>0.97866545619609624</v>
      </c>
      <c r="G27" s="79">
        <f t="shared" si="0"/>
        <v>3.1154757873349134E-2</v>
      </c>
      <c r="H27" s="79">
        <f t="shared" si="0"/>
        <v>0.98532073195254366</v>
      </c>
      <c r="I27" s="79">
        <f t="shared" si="0"/>
        <v>0.98917328198514032</v>
      </c>
      <c r="J27" s="79">
        <f t="shared" si="0"/>
        <v>0.6279683377308708</v>
      </c>
      <c r="K27" s="79">
        <f t="shared" si="0"/>
        <v>0.11046511627906974</v>
      </c>
      <c r="L27" s="79">
        <f t="shared" si="0"/>
        <v>0.954119278779473</v>
      </c>
      <c r="M27" s="79">
        <f t="shared" si="0"/>
        <v>0.954119278779473</v>
      </c>
      <c r="N27" s="79">
        <f t="shared" si="0"/>
        <v>1.2718431037246833E-2</v>
      </c>
      <c r="O27" s="79">
        <f t="shared" si="0"/>
        <v>0.98389229643801679</v>
      </c>
      <c r="P27" s="79">
        <f t="shared" si="0"/>
        <v>0.99041024301019065</v>
      </c>
      <c r="Q27" s="79">
        <f t="shared" si="0"/>
        <v>0.65053322395406055</v>
      </c>
      <c r="R27" s="79">
        <f t="shared" si="0"/>
        <v>0.12194616977225672</v>
      </c>
      <c r="S27" s="79">
        <f t="shared" si="0"/>
        <v>0.95674526669632709</v>
      </c>
      <c r="T27" s="79">
        <f t="shared" si="0"/>
        <v>0.95674526669632709</v>
      </c>
      <c r="U27" s="79">
        <f t="shared" si="0"/>
        <v>1.4041604754829122E-2</v>
      </c>
      <c r="V27" s="79">
        <f t="shared" si="0"/>
        <v>0.98397254690561053</v>
      </c>
      <c r="X27" s="4" t="s">
        <v>116</v>
      </c>
    </row>
    <row r="28" spans="1:24" x14ac:dyDescent="0.25">
      <c r="B28" s="79">
        <f>SUMIFS(B8:B25,$X8:$X25,$X28)/B7</f>
        <v>1.7555241766209976E-3</v>
      </c>
      <c r="C28" s="79">
        <f t="shared" ref="C28:V28" si="1">SUMIFS(C8:C25,$X8:$X25,$X28)/C7</f>
        <v>2.469135802469136E-2</v>
      </c>
      <c r="D28" s="79">
        <f t="shared" si="1"/>
        <v>0.71737786023500305</v>
      </c>
      <c r="E28" s="79">
        <f t="shared" si="1"/>
        <v>2.0880617339990921E-2</v>
      </c>
      <c r="F28" s="79">
        <f t="shared" si="1"/>
        <v>2.0880617339990921E-2</v>
      </c>
      <c r="G28" s="79">
        <f t="shared" si="1"/>
        <v>0.96884524212665091</v>
      </c>
      <c r="H28" s="79">
        <f t="shared" si="1"/>
        <v>1.4478182183792479E-2</v>
      </c>
      <c r="I28" s="79">
        <f t="shared" si="1"/>
        <v>3.8511144616614288E-3</v>
      </c>
      <c r="J28" s="79">
        <f t="shared" si="1"/>
        <v>3.0782761653474055E-2</v>
      </c>
      <c r="K28" s="79">
        <f t="shared" si="1"/>
        <v>0.79233978341913713</v>
      </c>
      <c r="L28" s="79">
        <f t="shared" si="1"/>
        <v>3.589459084604716E-2</v>
      </c>
      <c r="M28" s="79">
        <f t="shared" si="1"/>
        <v>3.589459084604716E-2</v>
      </c>
      <c r="N28" s="79">
        <f t="shared" si="1"/>
        <v>0.98143002190990225</v>
      </c>
      <c r="O28" s="79">
        <f t="shared" si="1"/>
        <v>1.4222609870012943E-2</v>
      </c>
      <c r="P28" s="79">
        <f t="shared" si="1"/>
        <v>3.5536974131173244E-3</v>
      </c>
      <c r="Q28" s="79">
        <f t="shared" si="1"/>
        <v>3.0352748154224778E-2</v>
      </c>
      <c r="R28" s="79">
        <f t="shared" si="1"/>
        <v>0.787287784679089</v>
      </c>
      <c r="S28" s="79">
        <f t="shared" si="1"/>
        <v>3.430718275742746E-2</v>
      </c>
      <c r="T28" s="79">
        <f t="shared" si="1"/>
        <v>3.430718275742746E-2</v>
      </c>
      <c r="U28" s="79">
        <f t="shared" si="1"/>
        <v>0.98046062407132228</v>
      </c>
      <c r="V28" s="79">
        <f t="shared" si="1"/>
        <v>1.4252468543329346E-2</v>
      </c>
      <c r="X28" s="4" t="s">
        <v>115</v>
      </c>
    </row>
    <row r="29" spans="1:24" x14ac:dyDescent="0.25">
      <c r="B29" s="79">
        <f>SUMIFS(B8:B25,$X8:$X25,$X29)/B7</f>
        <v>1.1449070717093464E-4</v>
      </c>
      <c r="C29" s="79">
        <f t="shared" ref="C29:V29" si="2">SUMIFS(C8:C25,$X8:$X25,$X29)/C7</f>
        <v>0</v>
      </c>
      <c r="D29" s="79">
        <f t="shared" si="2"/>
        <v>0</v>
      </c>
      <c r="E29" s="79">
        <f t="shared" si="2"/>
        <v>0</v>
      </c>
      <c r="F29" s="79">
        <f t="shared" si="2"/>
        <v>0</v>
      </c>
      <c r="G29" s="79">
        <f t="shared" si="2"/>
        <v>0</v>
      </c>
      <c r="H29" s="79">
        <f t="shared" si="2"/>
        <v>0</v>
      </c>
      <c r="I29" s="79">
        <f t="shared" si="2"/>
        <v>1.9316124422484209E-3</v>
      </c>
      <c r="J29" s="79">
        <f t="shared" si="2"/>
        <v>2.6385224274406332E-3</v>
      </c>
      <c r="K29" s="79">
        <f t="shared" si="2"/>
        <v>5.325758920646192E-4</v>
      </c>
      <c r="L29" s="79">
        <f t="shared" si="2"/>
        <v>1.1095700416088765E-3</v>
      </c>
      <c r="M29" s="79">
        <f t="shared" si="2"/>
        <v>1.1095700416088765E-3</v>
      </c>
      <c r="N29" s="79">
        <f t="shared" si="2"/>
        <v>6.1454603751402769E-4</v>
      </c>
      <c r="O29" s="79">
        <f t="shared" si="2"/>
        <v>3.3762872094986212E-4</v>
      </c>
      <c r="P29" s="79">
        <f t="shared" si="2"/>
        <v>1.6880062712307286E-3</v>
      </c>
      <c r="Q29" s="79">
        <f t="shared" si="2"/>
        <v>2.4610336341263331E-3</v>
      </c>
      <c r="R29" s="79">
        <f t="shared" si="2"/>
        <v>4.9689440993788822E-4</v>
      </c>
      <c r="S29" s="79">
        <f t="shared" si="2"/>
        <v>9.8867961836966744E-4</v>
      </c>
      <c r="T29" s="79">
        <f t="shared" si="2"/>
        <v>9.8867961836966744E-4</v>
      </c>
      <c r="U29" s="79">
        <f t="shared" si="2"/>
        <v>5.6958890539871216E-4</v>
      </c>
      <c r="V29" s="79">
        <f t="shared" si="2"/>
        <v>3.1555280907740244E-4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5.0379358995319319E-3</v>
      </c>
      <c r="J30" s="79">
        <f t="shared" si="3"/>
        <v>0.3386103781882146</v>
      </c>
      <c r="K30" s="79">
        <f t="shared" si="3"/>
        <v>9.666252440972839E-2</v>
      </c>
      <c r="L30" s="79">
        <f t="shared" si="3"/>
        <v>8.9875173370318993E-3</v>
      </c>
      <c r="M30" s="79">
        <f t="shared" si="3"/>
        <v>8.9875173370318993E-3</v>
      </c>
      <c r="N30" s="79">
        <f t="shared" si="3"/>
        <v>5.2637204082723234E-3</v>
      </c>
      <c r="O30" s="79">
        <f t="shared" si="3"/>
        <v>1.5615328343931126E-3</v>
      </c>
      <c r="P30" s="79">
        <f t="shared" si="3"/>
        <v>4.3480533054611964E-3</v>
      </c>
      <c r="Q30" s="79">
        <f t="shared" si="3"/>
        <v>0.31583264971287944</v>
      </c>
      <c r="R30" s="79">
        <f t="shared" si="3"/>
        <v>9.0186335403726711E-2</v>
      </c>
      <c r="S30" s="79">
        <f t="shared" si="3"/>
        <v>8.0083049087943045E-3</v>
      </c>
      <c r="T30" s="79">
        <f t="shared" si="3"/>
        <v>8.0083049087943045E-3</v>
      </c>
      <c r="U30" s="79">
        <f t="shared" si="3"/>
        <v>4.8786527984150561E-3</v>
      </c>
      <c r="V30" s="79">
        <f t="shared" si="3"/>
        <v>1.4594317419829865E-3</v>
      </c>
      <c r="X30" s="4" t="s">
        <v>113</v>
      </c>
    </row>
    <row r="64" spans="1:1" x14ac:dyDescent="0.25">
      <c r="A64" t="s">
        <v>196</v>
      </c>
    </row>
    <row r="65" spans="1:24" x14ac:dyDescent="0.25">
      <c r="A65" s="77" t="s">
        <v>197</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2.6202999999999999</v>
      </c>
      <c r="C69">
        <v>8.0999999999999996E-3</v>
      </c>
      <c r="D69">
        <v>0.16170000000000001</v>
      </c>
      <c r="E69">
        <v>0.2203</v>
      </c>
      <c r="F69">
        <v>0.2203</v>
      </c>
      <c r="G69">
        <v>0.29530000000000001</v>
      </c>
      <c r="H69">
        <v>0.49730000000000002</v>
      </c>
      <c r="I69">
        <v>16.514700000000001</v>
      </c>
      <c r="J69" s="78">
        <v>0.1137</v>
      </c>
      <c r="K69" s="78">
        <v>2.2532000000000001</v>
      </c>
      <c r="L69">
        <v>1.8126</v>
      </c>
      <c r="M69" s="82">
        <v>1.8126</v>
      </c>
      <c r="N69" s="78">
        <v>3.7412999999999998</v>
      </c>
      <c r="O69" s="78">
        <v>7.1083999999999996</v>
      </c>
      <c r="P69">
        <v>19.135000000000002</v>
      </c>
      <c r="Q69" s="78">
        <v>0.12189999999999999</v>
      </c>
      <c r="R69" s="78">
        <v>2.415</v>
      </c>
      <c r="S69">
        <v>2.0329000000000002</v>
      </c>
      <c r="T69" s="82">
        <v>2.0329000000000002</v>
      </c>
      <c r="U69" s="78">
        <v>4.0366</v>
      </c>
      <c r="V69" s="78">
        <v>7.6056999999999997</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1.8599999999999998E-2</v>
      </c>
      <c r="O70">
        <v>5.0000000000000001E-4</v>
      </c>
      <c r="P70">
        <v>6.1999999999999998E-3</v>
      </c>
      <c r="Q70">
        <v>0</v>
      </c>
      <c r="R70">
        <v>2.6200000000000001E-2</v>
      </c>
      <c r="S70">
        <v>2.5999999999999999E-3</v>
      </c>
      <c r="T70">
        <v>2.5999999999999999E-3</v>
      </c>
      <c r="U70">
        <v>1.8599999999999998E-2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6.7999999999999996E-3</v>
      </c>
      <c r="E72">
        <v>2.0000000000000001E-4</v>
      </c>
      <c r="F72">
        <v>2.0000000000000001E-4</v>
      </c>
      <c r="G72">
        <v>4.7999999999999996E-3</v>
      </c>
      <c r="H72">
        <v>2.9999999999999997E-4</v>
      </c>
      <c r="I72">
        <v>1.2800000000000001E-2</v>
      </c>
      <c r="J72">
        <v>6.9999999999999999E-4</v>
      </c>
      <c r="K72">
        <v>0.5131</v>
      </c>
      <c r="L72">
        <v>1.2999999999999999E-2</v>
      </c>
      <c r="M72">
        <v>1.2999999999999999E-2</v>
      </c>
      <c r="N72">
        <v>0.38159999999999999</v>
      </c>
      <c r="O72">
        <v>2.0299999999999999E-2</v>
      </c>
      <c r="P72">
        <v>1.29E-2</v>
      </c>
      <c r="Q72">
        <v>6.9999999999999999E-4</v>
      </c>
      <c r="R72">
        <v>0.51990000000000003</v>
      </c>
      <c r="S72">
        <v>1.32E-2</v>
      </c>
      <c r="T72">
        <v>1.32E-2</v>
      </c>
      <c r="U72">
        <v>0.38629999999999998</v>
      </c>
      <c r="V72">
        <v>2.06E-2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2.7699999999999999E-2</v>
      </c>
      <c r="J75">
        <v>2.9999999999999997E-4</v>
      </c>
      <c r="K75">
        <v>1E-3</v>
      </c>
      <c r="L75">
        <v>1.6999999999999999E-3</v>
      </c>
      <c r="M75">
        <v>1.6999999999999999E-3</v>
      </c>
      <c r="N75">
        <v>2E-3</v>
      </c>
      <c r="O75">
        <v>2.0999999999999999E-3</v>
      </c>
      <c r="P75">
        <v>2.7799999999999998E-2</v>
      </c>
      <c r="Q75">
        <v>2.9999999999999997E-4</v>
      </c>
      <c r="R75">
        <v>1E-3</v>
      </c>
      <c r="S75">
        <v>1.6999999999999999E-3</v>
      </c>
      <c r="T75">
        <v>1.6999999999999999E-3</v>
      </c>
      <c r="U75">
        <v>2E-3</v>
      </c>
      <c r="V75">
        <v>2.0999999999999999E-3</v>
      </c>
      <c r="W75" s="4" t="s">
        <v>122</v>
      </c>
      <c r="X75" s="4" t="s">
        <v>114</v>
      </c>
    </row>
    <row r="76" spans="1:24" x14ac:dyDescent="0.25">
      <c r="A76" s="4">
        <v>2104004000</v>
      </c>
      <c r="B76">
        <v>4.4000000000000003E-3</v>
      </c>
      <c r="C76">
        <v>2.0000000000000001E-4</v>
      </c>
      <c r="D76">
        <v>0.10920000000000001</v>
      </c>
      <c r="E76">
        <v>4.4000000000000003E-3</v>
      </c>
      <c r="F76">
        <v>4.4000000000000003E-3</v>
      </c>
      <c r="G76">
        <v>0.28129999999999999</v>
      </c>
      <c r="H76">
        <v>6.8999999999999999E-3</v>
      </c>
      <c r="I76">
        <v>5.0799999999999998E-2</v>
      </c>
      <c r="J76">
        <v>2.8E-3</v>
      </c>
      <c r="K76">
        <v>1.2722</v>
      </c>
      <c r="L76">
        <v>5.1700000000000003E-2</v>
      </c>
      <c r="M76">
        <v>5.1700000000000003E-2</v>
      </c>
      <c r="N76">
        <v>3.2915000000000001</v>
      </c>
      <c r="O76">
        <v>8.0799999999999997E-2</v>
      </c>
      <c r="P76">
        <v>5.5100000000000003E-2</v>
      </c>
      <c r="Q76">
        <v>3.0000000000000001E-3</v>
      </c>
      <c r="R76">
        <v>1.3814</v>
      </c>
      <c r="S76">
        <v>5.62E-2</v>
      </c>
      <c r="T76">
        <v>5.62E-2</v>
      </c>
      <c r="U76">
        <v>3.5728</v>
      </c>
      <c r="V76">
        <v>8.7800000000000003E-2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9.5899999999999999E-2</v>
      </c>
      <c r="C78">
        <v>6.9999999999999999E-4</v>
      </c>
      <c r="D78">
        <v>1E-3</v>
      </c>
      <c r="E78">
        <v>1.3100000000000001E-2</v>
      </c>
      <c r="F78">
        <v>1.3100000000000001E-2</v>
      </c>
      <c r="G78">
        <v>2.0000000000000001E-4</v>
      </c>
      <c r="H78">
        <v>8.6900000000000005E-2</v>
      </c>
      <c r="I78">
        <v>5.7377000000000002</v>
      </c>
      <c r="J78">
        <v>4.0899999999999999E-2</v>
      </c>
      <c r="K78">
        <v>5.91E-2</v>
      </c>
      <c r="L78">
        <v>0.8236</v>
      </c>
      <c r="M78">
        <v>0.8236</v>
      </c>
      <c r="N78">
        <v>9.1000000000000004E-3</v>
      </c>
      <c r="O78">
        <v>5.2016999999999998</v>
      </c>
      <c r="P78">
        <v>5.8335999999999997</v>
      </c>
      <c r="Q78">
        <v>4.1599999999999998E-2</v>
      </c>
      <c r="R78">
        <v>0.06</v>
      </c>
      <c r="S78">
        <v>0.83679999999999999</v>
      </c>
      <c r="T78">
        <v>0.83679999999999999</v>
      </c>
      <c r="U78">
        <v>9.1999999999999998E-3</v>
      </c>
      <c r="V78">
        <v>5.2885</v>
      </c>
      <c r="W78" s="4" t="s">
        <v>125</v>
      </c>
      <c r="X78" s="4" t="s">
        <v>116</v>
      </c>
    </row>
    <row r="79" spans="1:24" x14ac:dyDescent="0.25">
      <c r="A79" s="4">
        <v>2104008210</v>
      </c>
      <c r="B79">
        <v>6.1899999999999997E-2</v>
      </c>
      <c r="C79">
        <v>5.0000000000000001E-4</v>
      </c>
      <c r="D79">
        <v>8.0000000000000004E-4</v>
      </c>
      <c r="E79">
        <v>8.2000000000000007E-3</v>
      </c>
      <c r="F79">
        <v>8.2000000000000007E-3</v>
      </c>
      <c r="G79">
        <v>1E-4</v>
      </c>
      <c r="H79">
        <v>1.4200000000000001E-2</v>
      </c>
      <c r="I79">
        <v>0.25629999999999997</v>
      </c>
      <c r="J79">
        <v>1.9E-3</v>
      </c>
      <c r="K79">
        <v>3.0999999999999999E-3</v>
      </c>
      <c r="L79">
        <v>3.5700000000000003E-2</v>
      </c>
      <c r="M79">
        <v>3.5700000000000003E-2</v>
      </c>
      <c r="N79">
        <v>4.0000000000000002E-4</v>
      </c>
      <c r="O79">
        <v>5.8900000000000001E-2</v>
      </c>
      <c r="P79">
        <v>0.31819999999999998</v>
      </c>
      <c r="Q79">
        <v>2.3E-3</v>
      </c>
      <c r="R79">
        <v>3.8999999999999998E-3</v>
      </c>
      <c r="S79">
        <v>4.3900000000000002E-2</v>
      </c>
      <c r="T79">
        <v>4.3900000000000002E-2</v>
      </c>
      <c r="U79">
        <v>5.0000000000000001E-4</v>
      </c>
      <c r="V79">
        <v>7.3099999999999998E-2</v>
      </c>
      <c r="W79" s="4" t="s">
        <v>126</v>
      </c>
      <c r="X79" s="4" t="s">
        <v>116</v>
      </c>
    </row>
    <row r="80" spans="1:24" x14ac:dyDescent="0.25">
      <c r="A80" s="4">
        <v>2104008220</v>
      </c>
      <c r="B80">
        <v>0.1116</v>
      </c>
      <c r="C80">
        <v>6.9999999999999999E-4</v>
      </c>
      <c r="D80">
        <v>1.6000000000000001E-3</v>
      </c>
      <c r="E80">
        <v>9.4999999999999998E-3</v>
      </c>
      <c r="F80">
        <v>9.4999999999999998E-3</v>
      </c>
      <c r="G80">
        <v>2.9999999999999997E-4</v>
      </c>
      <c r="H80">
        <v>9.4999999999999998E-3</v>
      </c>
      <c r="I80">
        <v>0.46210000000000001</v>
      </c>
      <c r="J80">
        <v>3.0000000000000001E-3</v>
      </c>
      <c r="K80">
        <v>6.6E-3</v>
      </c>
      <c r="L80">
        <v>4.1200000000000001E-2</v>
      </c>
      <c r="M80">
        <v>4.1200000000000001E-2</v>
      </c>
      <c r="N80">
        <v>1.2999999999999999E-3</v>
      </c>
      <c r="O80">
        <v>3.9399999999999998E-2</v>
      </c>
      <c r="P80">
        <v>0.5736</v>
      </c>
      <c r="Q80">
        <v>3.7000000000000002E-3</v>
      </c>
      <c r="R80">
        <v>8.0999999999999996E-3</v>
      </c>
      <c r="S80">
        <v>5.0700000000000002E-2</v>
      </c>
      <c r="T80">
        <v>5.0700000000000002E-2</v>
      </c>
      <c r="U80">
        <v>1.6000000000000001E-3</v>
      </c>
      <c r="V80">
        <v>4.8899999999999999E-2</v>
      </c>
      <c r="W80" s="4" t="s">
        <v>127</v>
      </c>
      <c r="X80" s="4" t="s">
        <v>116</v>
      </c>
    </row>
    <row r="81" spans="1:24" x14ac:dyDescent="0.25">
      <c r="A81" s="4">
        <v>2104008230</v>
      </c>
      <c r="B81">
        <v>0.1158</v>
      </c>
      <c r="C81">
        <v>1E-3</v>
      </c>
      <c r="D81">
        <v>2.2000000000000001E-3</v>
      </c>
      <c r="E81">
        <v>1.41E-2</v>
      </c>
      <c r="F81">
        <v>1.41E-2</v>
      </c>
      <c r="G81">
        <v>4.0000000000000002E-4</v>
      </c>
      <c r="H81">
        <v>1.6199999999999999E-2</v>
      </c>
      <c r="I81">
        <v>0.47960000000000003</v>
      </c>
      <c r="J81">
        <v>4.0000000000000001E-3</v>
      </c>
      <c r="K81">
        <v>8.9999999999999993E-3</v>
      </c>
      <c r="L81">
        <v>6.0999999999999999E-2</v>
      </c>
      <c r="M81">
        <v>6.0999999999999999E-2</v>
      </c>
      <c r="N81">
        <v>1.6999999999999999E-3</v>
      </c>
      <c r="O81">
        <v>6.7199999999999996E-2</v>
      </c>
      <c r="P81">
        <v>0.59540000000000004</v>
      </c>
      <c r="Q81">
        <v>5.0000000000000001E-3</v>
      </c>
      <c r="R81">
        <v>1.11E-2</v>
      </c>
      <c r="S81">
        <v>7.4999999999999997E-2</v>
      </c>
      <c r="T81">
        <v>7.4999999999999997E-2</v>
      </c>
      <c r="U81">
        <v>2.2000000000000001E-3</v>
      </c>
      <c r="V81">
        <v>8.3500000000000005E-2</v>
      </c>
      <c r="W81" s="4" t="s">
        <v>128</v>
      </c>
      <c r="X81" s="4" t="s">
        <v>116</v>
      </c>
    </row>
    <row r="82" spans="1:24" x14ac:dyDescent="0.25">
      <c r="A82" s="4">
        <v>2104008310</v>
      </c>
      <c r="B82">
        <v>0.26579999999999998</v>
      </c>
      <c r="C82">
        <v>8.9999999999999998E-4</v>
      </c>
      <c r="D82">
        <v>3.2000000000000002E-3</v>
      </c>
      <c r="E82">
        <v>2.6599999999999999E-2</v>
      </c>
      <c r="F82">
        <v>2.6599999999999999E-2</v>
      </c>
      <c r="G82">
        <v>8.9999999999999998E-4</v>
      </c>
      <c r="H82">
        <v>0.1163</v>
      </c>
      <c r="I82">
        <v>1.1009</v>
      </c>
      <c r="J82">
        <v>3.5999999999999999E-3</v>
      </c>
      <c r="K82">
        <v>1.32E-2</v>
      </c>
      <c r="L82">
        <v>0.1157</v>
      </c>
      <c r="M82">
        <v>0.1157</v>
      </c>
      <c r="N82">
        <v>3.5000000000000001E-3</v>
      </c>
      <c r="O82">
        <v>0.48149999999999998</v>
      </c>
      <c r="P82">
        <v>1.3668</v>
      </c>
      <c r="Q82">
        <v>4.4999999999999997E-3</v>
      </c>
      <c r="R82">
        <v>1.6400000000000001E-2</v>
      </c>
      <c r="S82">
        <v>0.1424</v>
      </c>
      <c r="T82">
        <v>0.1424</v>
      </c>
      <c r="U82">
        <v>4.4000000000000003E-3</v>
      </c>
      <c r="V82">
        <v>0.5978</v>
      </c>
      <c r="W82" s="4" t="s">
        <v>129</v>
      </c>
      <c r="X82" s="4" t="s">
        <v>116</v>
      </c>
    </row>
    <row r="83" spans="1:24" x14ac:dyDescent="0.25">
      <c r="A83" s="4">
        <v>2104008320</v>
      </c>
      <c r="B83">
        <v>0.80159999999999998</v>
      </c>
      <c r="C83">
        <v>1.6000000000000001E-3</v>
      </c>
      <c r="D83">
        <v>1.04E-2</v>
      </c>
      <c r="E83">
        <v>5.1400000000000001E-2</v>
      </c>
      <c r="F83">
        <v>5.1400000000000001E-2</v>
      </c>
      <c r="G83">
        <v>2.5999999999999999E-3</v>
      </c>
      <c r="H83">
        <v>7.7799999999999994E-2</v>
      </c>
      <c r="I83">
        <v>3.3195999999999999</v>
      </c>
      <c r="J83">
        <v>6.7000000000000002E-3</v>
      </c>
      <c r="K83">
        <v>4.3200000000000002E-2</v>
      </c>
      <c r="L83">
        <v>0.22259999999999999</v>
      </c>
      <c r="M83">
        <v>0.22259999999999999</v>
      </c>
      <c r="N83">
        <v>1.04E-2</v>
      </c>
      <c r="O83">
        <v>0.32219999999999999</v>
      </c>
      <c r="P83">
        <v>4.1212999999999997</v>
      </c>
      <c r="Q83">
        <v>8.3000000000000001E-3</v>
      </c>
      <c r="R83">
        <v>5.3600000000000002E-2</v>
      </c>
      <c r="S83">
        <v>0.27389999999999998</v>
      </c>
      <c r="T83">
        <v>0.27389999999999998</v>
      </c>
      <c r="U83">
        <v>1.2999999999999999E-2</v>
      </c>
      <c r="V83">
        <v>0.4</v>
      </c>
      <c r="W83" s="4" t="s">
        <v>130</v>
      </c>
      <c r="X83" s="4" t="s">
        <v>116</v>
      </c>
    </row>
    <row r="84" spans="1:24" x14ac:dyDescent="0.25">
      <c r="A84" s="4">
        <v>2104008330</v>
      </c>
      <c r="B84">
        <v>1.0949</v>
      </c>
      <c r="C84">
        <v>2.2000000000000001E-3</v>
      </c>
      <c r="D84">
        <v>1.4200000000000001E-2</v>
      </c>
      <c r="E84">
        <v>7.7899999999999997E-2</v>
      </c>
      <c r="F84">
        <v>7.7899999999999997E-2</v>
      </c>
      <c r="G84">
        <v>3.5000000000000001E-3</v>
      </c>
      <c r="H84">
        <v>0.1328</v>
      </c>
      <c r="I84">
        <v>4.5343</v>
      </c>
      <c r="J84">
        <v>9.1999999999999998E-3</v>
      </c>
      <c r="K84">
        <v>5.8999999999999997E-2</v>
      </c>
      <c r="L84">
        <v>0.33729999999999999</v>
      </c>
      <c r="M84">
        <v>0.33729999999999999</v>
      </c>
      <c r="N84">
        <v>1.4200000000000001E-2</v>
      </c>
      <c r="O84">
        <v>0.55010000000000003</v>
      </c>
      <c r="P84">
        <v>5.6292999999999997</v>
      </c>
      <c r="Q84">
        <v>1.14E-2</v>
      </c>
      <c r="R84">
        <v>7.3200000000000001E-2</v>
      </c>
      <c r="S84">
        <v>0.41520000000000001</v>
      </c>
      <c r="T84">
        <v>0.41520000000000001</v>
      </c>
      <c r="U84">
        <v>1.77E-2</v>
      </c>
      <c r="V84">
        <v>0.68289999999999995</v>
      </c>
      <c r="W84" s="4" t="s">
        <v>131</v>
      </c>
      <c r="X84" s="4" t="s">
        <v>116</v>
      </c>
    </row>
    <row r="85" spans="1:24" x14ac:dyDescent="0.25">
      <c r="A85" s="4">
        <v>2104008410</v>
      </c>
      <c r="B85">
        <v>3.5000000000000001E-3</v>
      </c>
      <c r="C85">
        <v>0</v>
      </c>
      <c r="D85">
        <v>1.4E-3</v>
      </c>
      <c r="E85">
        <v>1.1000000000000001E-3</v>
      </c>
      <c r="F85">
        <v>1.1000000000000001E-3</v>
      </c>
      <c r="G85">
        <v>1E-4</v>
      </c>
      <c r="H85">
        <v>8.0000000000000004E-4</v>
      </c>
      <c r="I85">
        <v>1.46E-2</v>
      </c>
      <c r="J85">
        <v>1E-4</v>
      </c>
      <c r="K85">
        <v>5.8999999999999999E-3</v>
      </c>
      <c r="L85">
        <v>4.5999999999999999E-3</v>
      </c>
      <c r="M85">
        <v>4.5999999999999999E-3</v>
      </c>
      <c r="N85">
        <v>4.0000000000000002E-4</v>
      </c>
      <c r="O85">
        <v>3.3999999999999998E-3</v>
      </c>
      <c r="P85">
        <v>1.8100000000000002E-2</v>
      </c>
      <c r="Q85">
        <v>1E-4</v>
      </c>
      <c r="R85">
        <v>7.3000000000000001E-3</v>
      </c>
      <c r="S85">
        <v>5.5999999999999999E-3</v>
      </c>
      <c r="T85">
        <v>5.5999999999999999E-3</v>
      </c>
      <c r="U85">
        <v>5.9999999999999995E-4</v>
      </c>
      <c r="V85">
        <v>4.1999999999999997E-3</v>
      </c>
      <c r="W85" s="4" t="s">
        <v>132</v>
      </c>
      <c r="X85" s="4" t="s">
        <v>116</v>
      </c>
    </row>
    <row r="86" spans="1:24" x14ac:dyDescent="0.25">
      <c r="A86" s="4">
        <v>2104008420</v>
      </c>
      <c r="B86">
        <v>2.46E-2</v>
      </c>
      <c r="C86">
        <v>2.0000000000000001E-4</v>
      </c>
      <c r="D86">
        <v>9.9000000000000008E-3</v>
      </c>
      <c r="E86">
        <v>7.3000000000000001E-3</v>
      </c>
      <c r="F86">
        <v>7.3000000000000001E-3</v>
      </c>
      <c r="G86">
        <v>8.0000000000000004E-4</v>
      </c>
      <c r="H86">
        <v>5.7000000000000002E-3</v>
      </c>
      <c r="I86">
        <v>0.1021</v>
      </c>
      <c r="J86">
        <v>6.9999999999999999E-4</v>
      </c>
      <c r="K86">
        <v>4.1099999999999998E-2</v>
      </c>
      <c r="L86">
        <v>3.1899999999999998E-2</v>
      </c>
      <c r="M86">
        <v>3.1899999999999998E-2</v>
      </c>
      <c r="N86">
        <v>3.0000000000000001E-3</v>
      </c>
      <c r="O86">
        <v>2.3599999999999999E-2</v>
      </c>
      <c r="P86">
        <v>0.12670000000000001</v>
      </c>
      <c r="Q86">
        <v>8.9999999999999998E-4</v>
      </c>
      <c r="R86">
        <v>5.11E-2</v>
      </c>
      <c r="S86">
        <v>3.9300000000000002E-2</v>
      </c>
      <c r="T86">
        <v>3.9300000000000002E-2</v>
      </c>
      <c r="U86">
        <v>3.8E-3</v>
      </c>
      <c r="V86">
        <v>2.93E-2</v>
      </c>
      <c r="W86" s="4" t="s">
        <v>133</v>
      </c>
      <c r="X86" s="4" t="s">
        <v>116</v>
      </c>
    </row>
    <row r="87" spans="1:24" x14ac:dyDescent="0.25">
      <c r="A87" s="4">
        <v>2104008610</v>
      </c>
      <c r="B87">
        <v>3.95E-2</v>
      </c>
      <c r="C87">
        <v>2.0000000000000001E-4</v>
      </c>
      <c r="D87">
        <v>1.1000000000000001E-3</v>
      </c>
      <c r="E87">
        <v>6.4000000000000003E-3</v>
      </c>
      <c r="F87">
        <v>6.4000000000000003E-3</v>
      </c>
      <c r="G87">
        <v>2.9999999999999997E-4</v>
      </c>
      <c r="H87">
        <v>2.9600000000000001E-2</v>
      </c>
      <c r="I87">
        <v>0.32690000000000002</v>
      </c>
      <c r="J87">
        <v>1.2999999999999999E-3</v>
      </c>
      <c r="K87">
        <v>8.6999999999999994E-3</v>
      </c>
      <c r="L87">
        <v>5.5899999999999998E-2</v>
      </c>
      <c r="M87">
        <v>5.5899999999999998E-2</v>
      </c>
      <c r="N87">
        <v>2.0999999999999999E-3</v>
      </c>
      <c r="O87">
        <v>0.245</v>
      </c>
      <c r="P87">
        <v>0.3664</v>
      </c>
      <c r="Q87">
        <v>1.5E-3</v>
      </c>
      <c r="R87">
        <v>9.7999999999999997E-3</v>
      </c>
      <c r="S87">
        <v>6.2399999999999997E-2</v>
      </c>
      <c r="T87">
        <v>6.2399999999999997E-2</v>
      </c>
      <c r="U87">
        <v>2.3999999999999998E-3</v>
      </c>
      <c r="V87">
        <v>0.27460000000000001</v>
      </c>
      <c r="W87" s="4" t="s">
        <v>134</v>
      </c>
      <c r="X87" s="4" t="s">
        <v>116</v>
      </c>
    </row>
    <row r="89" spans="1:24" x14ac:dyDescent="0.25">
      <c r="B89" s="80">
        <f>SUMIFS(B70:B87,$X70:$X87,$X89)/B69</f>
        <v>0.99812998511620799</v>
      </c>
      <c r="C89" s="80">
        <f t="shared" ref="C89:V89" si="4">SUMIFS(C70:C87,$X70:$X87,$X89)/C69</f>
        <v>0.98765432098765438</v>
      </c>
      <c r="D89" s="80">
        <f t="shared" si="4"/>
        <v>0.28324056895485461</v>
      </c>
      <c r="E89" s="80">
        <f t="shared" si="4"/>
        <v>0.97866545619609624</v>
      </c>
      <c r="F89" s="80">
        <f t="shared" si="4"/>
        <v>0.97866545619609624</v>
      </c>
      <c r="G89" s="80">
        <f t="shared" si="4"/>
        <v>3.1154757873349134E-2</v>
      </c>
      <c r="H89" s="80">
        <f t="shared" si="4"/>
        <v>0.98532073195254366</v>
      </c>
      <c r="I89" s="80">
        <f t="shared" si="4"/>
        <v>0.98917328198514032</v>
      </c>
      <c r="J89" s="81">
        <f t="shared" si="4"/>
        <v>0.6279683377308708</v>
      </c>
      <c r="K89" s="81">
        <f t="shared" si="4"/>
        <v>0.11046511627906974</v>
      </c>
      <c r="L89" s="80">
        <f t="shared" si="4"/>
        <v>0.95431976166832166</v>
      </c>
      <c r="M89" s="81">
        <f t="shared" si="4"/>
        <v>0.95431976166832166</v>
      </c>
      <c r="N89" s="81">
        <f t="shared" si="4"/>
        <v>1.2321920188169886E-2</v>
      </c>
      <c r="O89" s="81">
        <f t="shared" si="4"/>
        <v>0.98389229643801679</v>
      </c>
      <c r="P89" s="80">
        <f t="shared" si="4"/>
        <v>0.99041024301019065</v>
      </c>
      <c r="Q89" s="81">
        <f t="shared" si="4"/>
        <v>0.65053322395406055</v>
      </c>
      <c r="R89" s="81">
        <f t="shared" si="4"/>
        <v>0.12194616977225672</v>
      </c>
      <c r="S89" s="80">
        <f t="shared" si="4"/>
        <v>0.95700723104924001</v>
      </c>
      <c r="T89" s="81">
        <f t="shared" si="4"/>
        <v>0.95700723104924001</v>
      </c>
      <c r="U89" s="81">
        <f t="shared" si="4"/>
        <v>1.3724421542882625E-2</v>
      </c>
      <c r="V89" s="81">
        <f t="shared" si="4"/>
        <v>0.98397254690561053</v>
      </c>
      <c r="X89" s="4" t="s">
        <v>116</v>
      </c>
    </row>
    <row r="90" spans="1:24" x14ac:dyDescent="0.25">
      <c r="B90" s="80">
        <f>SUMIFS(B70:B87,$X70:$X87,$X90)/B69</f>
        <v>1.7555241766209976E-3</v>
      </c>
      <c r="C90" s="80">
        <f t="shared" ref="C90:V90" si="5">SUMIFS(C70:C87,$X70:$X87,$X90)/C69</f>
        <v>2.469135802469136E-2</v>
      </c>
      <c r="D90" s="80">
        <f t="shared" si="5"/>
        <v>0.71737786023500305</v>
      </c>
      <c r="E90" s="80">
        <f t="shared" si="5"/>
        <v>2.0880617339990921E-2</v>
      </c>
      <c r="F90" s="80">
        <f t="shared" si="5"/>
        <v>2.0880617339990921E-2</v>
      </c>
      <c r="G90" s="80">
        <f t="shared" si="5"/>
        <v>0.96884524212665091</v>
      </c>
      <c r="H90" s="80">
        <f t="shared" si="5"/>
        <v>1.4478182183792479E-2</v>
      </c>
      <c r="I90" s="80">
        <f t="shared" si="5"/>
        <v>3.8511144616614288E-3</v>
      </c>
      <c r="J90" s="81">
        <f t="shared" si="5"/>
        <v>3.0782761653474055E-2</v>
      </c>
      <c r="K90" s="81">
        <f t="shared" si="5"/>
        <v>0.79233978341913713</v>
      </c>
      <c r="L90" s="80">
        <f t="shared" si="5"/>
        <v>3.5694582367869362E-2</v>
      </c>
      <c r="M90" s="81">
        <f t="shared" si="5"/>
        <v>3.5694582367869362E-2</v>
      </c>
      <c r="N90" s="81">
        <f t="shared" si="5"/>
        <v>0.9817710421511241</v>
      </c>
      <c r="O90" s="81">
        <f t="shared" si="5"/>
        <v>1.4222609870012943E-2</v>
      </c>
      <c r="P90" s="80">
        <f t="shared" si="5"/>
        <v>3.5536974131173244E-3</v>
      </c>
      <c r="Q90" s="81">
        <f t="shared" si="5"/>
        <v>3.0352748154224778E-2</v>
      </c>
      <c r="R90" s="81">
        <f t="shared" si="5"/>
        <v>0.787287784679089</v>
      </c>
      <c r="S90" s="80">
        <f t="shared" si="5"/>
        <v>3.4138422942594324E-2</v>
      </c>
      <c r="T90" s="81">
        <f t="shared" si="5"/>
        <v>3.4138422942594324E-2</v>
      </c>
      <c r="U90" s="81">
        <f t="shared" si="5"/>
        <v>0.98080067383441505</v>
      </c>
      <c r="V90" s="81">
        <f t="shared" si="5"/>
        <v>1.4252468543329346E-2</v>
      </c>
      <c r="X90" s="4" t="s">
        <v>115</v>
      </c>
    </row>
    <row r="91" spans="1:24" x14ac:dyDescent="0.25">
      <c r="B91" s="80">
        <f>SUMIFS(B70:B87,$X70:$X87,$X91)/B69</f>
        <v>1.1449070717093464E-4</v>
      </c>
      <c r="C91" s="80">
        <f t="shared" ref="C91:V91" si="6">SUMIFS(C70:C87,$X70:$X87,$X91)/C69</f>
        <v>0</v>
      </c>
      <c r="D91" s="80">
        <f t="shared" si="6"/>
        <v>0</v>
      </c>
      <c r="E91" s="80">
        <f t="shared" si="6"/>
        <v>0</v>
      </c>
      <c r="F91" s="80">
        <f t="shared" si="6"/>
        <v>0</v>
      </c>
      <c r="G91" s="80">
        <f t="shared" si="6"/>
        <v>0</v>
      </c>
      <c r="H91" s="80">
        <f t="shared" si="6"/>
        <v>0</v>
      </c>
      <c r="I91" s="80">
        <f t="shared" si="6"/>
        <v>1.9316124422484209E-3</v>
      </c>
      <c r="J91" s="81">
        <f t="shared" si="6"/>
        <v>2.6385224274406332E-3</v>
      </c>
      <c r="K91" s="81">
        <f t="shared" si="6"/>
        <v>5.325758920646192E-4</v>
      </c>
      <c r="L91" s="80">
        <f t="shared" si="6"/>
        <v>1.1033873993158997E-3</v>
      </c>
      <c r="M91" s="81">
        <f t="shared" si="6"/>
        <v>1.1033873993158997E-3</v>
      </c>
      <c r="N91" s="81">
        <f t="shared" si="6"/>
        <v>6.1475957554860616E-4</v>
      </c>
      <c r="O91" s="81">
        <f t="shared" si="6"/>
        <v>3.3762872094986212E-4</v>
      </c>
      <c r="P91" s="80">
        <f t="shared" si="6"/>
        <v>1.6880062712307286E-3</v>
      </c>
      <c r="Q91" s="81">
        <f t="shared" si="6"/>
        <v>2.4610336341263331E-3</v>
      </c>
      <c r="R91" s="81">
        <f t="shared" si="6"/>
        <v>4.9689440993788822E-4</v>
      </c>
      <c r="S91" s="80">
        <f t="shared" si="6"/>
        <v>9.8381622312951941E-4</v>
      </c>
      <c r="T91" s="81">
        <f t="shared" si="6"/>
        <v>9.8381622312951941E-4</v>
      </c>
      <c r="U91" s="81">
        <f t="shared" si="6"/>
        <v>5.6978645394639054E-4</v>
      </c>
      <c r="V91" s="81">
        <f t="shared" si="6"/>
        <v>3.1555280907740244E-4</v>
      </c>
      <c r="X91" s="4" t="s">
        <v>114</v>
      </c>
    </row>
    <row r="92" spans="1:24" x14ac:dyDescent="0.25">
      <c r="B92" s="80">
        <f>SUMIFS(B70:B87,$X70:$X87,$X92)/B69</f>
        <v>0</v>
      </c>
      <c r="C92" s="80">
        <f t="shared" ref="C92:V92" si="7">SUMIFS(C70:C87,$X70:$X87,$X92)/C69</f>
        <v>0</v>
      </c>
      <c r="D92" s="80">
        <f t="shared" si="7"/>
        <v>0</v>
      </c>
      <c r="E92" s="80">
        <f t="shared" si="7"/>
        <v>0</v>
      </c>
      <c r="F92" s="80">
        <f t="shared" si="7"/>
        <v>0</v>
      </c>
      <c r="G92" s="80">
        <f t="shared" si="7"/>
        <v>0</v>
      </c>
      <c r="H92" s="80">
        <f t="shared" si="7"/>
        <v>0</v>
      </c>
      <c r="I92" s="80">
        <f t="shared" si="7"/>
        <v>5.0379358995319319E-3</v>
      </c>
      <c r="J92" s="81">
        <f t="shared" si="7"/>
        <v>0.3386103781882146</v>
      </c>
      <c r="K92" s="81">
        <f t="shared" si="7"/>
        <v>9.666252440972839E-2</v>
      </c>
      <c r="L92" s="80">
        <f t="shared" si="7"/>
        <v>8.9374379344587876E-3</v>
      </c>
      <c r="M92" s="81">
        <f t="shared" si="7"/>
        <v>8.9374379344587876E-3</v>
      </c>
      <c r="N92" s="81">
        <f t="shared" si="7"/>
        <v>5.2922780851575651E-3</v>
      </c>
      <c r="O92" s="81">
        <f t="shared" si="7"/>
        <v>1.5615328343931126E-3</v>
      </c>
      <c r="P92" s="80">
        <f t="shared" si="7"/>
        <v>4.3480533054611964E-3</v>
      </c>
      <c r="Q92" s="81">
        <f t="shared" si="7"/>
        <v>0.31583264971287944</v>
      </c>
      <c r="R92" s="81">
        <f t="shared" si="7"/>
        <v>9.0186335403726711E-2</v>
      </c>
      <c r="S92" s="80">
        <f t="shared" si="7"/>
        <v>7.9689114073491062E-3</v>
      </c>
      <c r="T92" s="81">
        <f t="shared" si="7"/>
        <v>7.9689114073491062E-3</v>
      </c>
      <c r="U92" s="81">
        <f t="shared" si="7"/>
        <v>4.9051181687558834E-3</v>
      </c>
      <c r="V92" s="81">
        <f t="shared" si="7"/>
        <v>1.4594317419829865E-3</v>
      </c>
      <c r="X92" s="4" t="s">
        <v>113</v>
      </c>
    </row>
  </sheetData>
  <sheetProtection algorithmName="SHA-512" hashValue="W2I4IcnyRQ60CIGKvs1RUFWGgAbDZj1JXgdvs+LJJmFT6HOWPboSJoYbE8alBySUdbdLs4B7en0RZTuEILTQHQ==" saltValue="PzLxl1wi1Ixw2x9te6VvYw==" spinCount="100000" sheet="1" objects="1" scenarios="1"/>
  <mergeCells count="6">
    <mergeCell ref="B67:H67"/>
    <mergeCell ref="I67:O67"/>
    <mergeCell ref="P67:V67"/>
    <mergeCell ref="B5:H5"/>
    <mergeCell ref="I5:O5"/>
    <mergeCell ref="P5:V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F4E04-DB23-4DB7-A7F3-4334E7770919}">
  <sheetPr codeName="Sheet25"/>
  <dimension ref="A2:X92"/>
  <sheetViews>
    <sheetView workbookViewId="0">
      <selection activeCell="M16" sqref="M16"/>
    </sheetView>
  </sheetViews>
  <sheetFormatPr defaultRowHeight="15" x14ac:dyDescent="0.25"/>
  <cols>
    <col min="1" max="1" width="13" customWidth="1"/>
    <col min="23" max="23" width="11.85546875" customWidth="1"/>
  </cols>
  <sheetData>
    <row r="2" spans="1:24" x14ac:dyDescent="0.25">
      <c r="A2" t="s">
        <v>198</v>
      </c>
    </row>
    <row r="3" spans="1:24" x14ac:dyDescent="0.25">
      <c r="A3" s="77" t="s">
        <v>199</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2.9022000000000001</v>
      </c>
      <c r="C7">
        <v>8.9999999999999993E-3</v>
      </c>
      <c r="D7">
        <v>0.16339999999999999</v>
      </c>
      <c r="E7">
        <v>0.24299999999999999</v>
      </c>
      <c r="F7">
        <v>0.24299999999999999</v>
      </c>
      <c r="G7">
        <v>0.28760000000000002</v>
      </c>
      <c r="H7">
        <v>0.54420000000000002</v>
      </c>
      <c r="I7">
        <v>18.2927</v>
      </c>
      <c r="J7">
        <v>0.12139999999999999</v>
      </c>
      <c r="K7">
        <v>2.2749999999999999</v>
      </c>
      <c r="L7">
        <v>1.9120999999999999</v>
      </c>
      <c r="M7">
        <v>1.9120999999999999</v>
      </c>
      <c r="N7">
        <v>3.6909000000000001</v>
      </c>
      <c r="O7">
        <v>7.8491</v>
      </c>
      <c r="P7">
        <v>21.194900000000001</v>
      </c>
      <c r="Q7">
        <v>0.1303</v>
      </c>
      <c r="R7">
        <v>2.4384000000000001</v>
      </c>
      <c r="S7">
        <v>2.1551</v>
      </c>
      <c r="T7">
        <v>2.1551</v>
      </c>
      <c r="U7">
        <v>3.9784999999999999</v>
      </c>
      <c r="V7">
        <v>8.3933</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6.7999999999999996E-3</v>
      </c>
      <c r="E10">
        <v>2.0000000000000001E-4</v>
      </c>
      <c r="F10">
        <v>2.0000000000000001E-4</v>
      </c>
      <c r="G10">
        <v>4.7999999999999996E-3</v>
      </c>
      <c r="H10">
        <v>2.9999999999999997E-4</v>
      </c>
      <c r="I10">
        <v>1.29E-2</v>
      </c>
      <c r="J10">
        <v>6.9999999999999999E-4</v>
      </c>
      <c r="K10">
        <v>0.51759999999999995</v>
      </c>
      <c r="L10">
        <v>1.3100000000000001E-2</v>
      </c>
      <c r="M10">
        <v>1.3100000000000001E-2</v>
      </c>
      <c r="N10">
        <v>0.3659</v>
      </c>
      <c r="O10">
        <v>2.0500000000000001E-2</v>
      </c>
      <c r="P10">
        <v>1.2999999999999999E-2</v>
      </c>
      <c r="Q10">
        <v>6.9999999999999999E-4</v>
      </c>
      <c r="R10">
        <v>0.52439999999999998</v>
      </c>
      <c r="S10">
        <v>1.3299999999999999E-2</v>
      </c>
      <c r="T10">
        <v>1.3299999999999999E-2</v>
      </c>
      <c r="U10">
        <v>0.37069999999999997</v>
      </c>
      <c r="V10">
        <v>2.0799999999999999E-2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2.7900000000000001E-2</v>
      </c>
      <c r="J13">
        <v>2.9999999999999997E-4</v>
      </c>
      <c r="K13">
        <v>1E-3</v>
      </c>
      <c r="L13">
        <v>1.6999999999999999E-3</v>
      </c>
      <c r="M13">
        <v>1.6999999999999999E-3</v>
      </c>
      <c r="N13">
        <v>2E-3</v>
      </c>
      <c r="O13">
        <v>2.0999999999999999E-3</v>
      </c>
      <c r="P13">
        <v>2.8000000000000001E-2</v>
      </c>
      <c r="Q13">
        <v>2.9999999999999997E-4</v>
      </c>
      <c r="R13">
        <v>1E-3</v>
      </c>
      <c r="S13">
        <v>1.6999999999999999E-3</v>
      </c>
      <c r="T13">
        <v>1.6999999999999999E-3</v>
      </c>
      <c r="U13">
        <v>2E-3</v>
      </c>
      <c r="V13">
        <v>2.0999999999999999E-3</v>
      </c>
      <c r="W13" s="4" t="s">
        <v>122</v>
      </c>
      <c r="X13" s="4" t="s">
        <v>114</v>
      </c>
    </row>
    <row r="14" spans="1:24" x14ac:dyDescent="0.25">
      <c r="A14" s="4">
        <v>2104004000</v>
      </c>
      <c r="B14">
        <v>4.1999999999999997E-3</v>
      </c>
      <c r="C14">
        <v>2.0000000000000001E-4</v>
      </c>
      <c r="D14">
        <v>0.10580000000000001</v>
      </c>
      <c r="E14">
        <v>4.3E-3</v>
      </c>
      <c r="F14">
        <v>4.3E-3</v>
      </c>
      <c r="G14">
        <v>0.27260000000000001</v>
      </c>
      <c r="H14">
        <v>6.7000000000000002E-3</v>
      </c>
      <c r="I14">
        <v>5.04E-2</v>
      </c>
      <c r="J14">
        <v>2.8E-3</v>
      </c>
      <c r="K14">
        <v>1.2622</v>
      </c>
      <c r="L14">
        <v>5.1299999999999998E-2</v>
      </c>
      <c r="M14">
        <v>5.1299999999999998E-2</v>
      </c>
      <c r="N14">
        <v>3.2502</v>
      </c>
      <c r="O14">
        <v>8.0199999999999994E-2</v>
      </c>
      <c r="P14">
        <v>5.4600000000000003E-2</v>
      </c>
      <c r="Q14">
        <v>3.0000000000000001E-3</v>
      </c>
      <c r="R14">
        <v>1.3680000000000001</v>
      </c>
      <c r="S14">
        <v>5.5599999999999997E-2</v>
      </c>
      <c r="T14">
        <v>5.5599999999999997E-2</v>
      </c>
      <c r="U14">
        <v>3.5226999999999999</v>
      </c>
      <c r="V14">
        <v>8.6900000000000005E-2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0.10630000000000001</v>
      </c>
      <c r="C16">
        <v>8.0000000000000004E-4</v>
      </c>
      <c r="D16">
        <v>1.1000000000000001E-3</v>
      </c>
      <c r="E16">
        <v>1.46E-2</v>
      </c>
      <c r="F16">
        <v>1.46E-2</v>
      </c>
      <c r="G16">
        <v>2.0000000000000001E-4</v>
      </c>
      <c r="H16">
        <v>9.64E-2</v>
      </c>
      <c r="I16">
        <v>6.3677000000000001</v>
      </c>
      <c r="J16">
        <v>4.5400000000000003E-2</v>
      </c>
      <c r="K16">
        <v>6.5500000000000003E-2</v>
      </c>
      <c r="L16">
        <v>0.87219999999999998</v>
      </c>
      <c r="M16">
        <v>0.87219999999999998</v>
      </c>
      <c r="N16">
        <v>1.01E-2</v>
      </c>
      <c r="O16">
        <v>5.7728000000000002</v>
      </c>
      <c r="P16">
        <v>6.4741</v>
      </c>
      <c r="Q16">
        <v>4.6100000000000002E-2</v>
      </c>
      <c r="R16">
        <v>6.6600000000000006E-2</v>
      </c>
      <c r="S16">
        <v>0.88680000000000003</v>
      </c>
      <c r="T16">
        <v>0.88680000000000003</v>
      </c>
      <c r="U16">
        <v>1.03E-2</v>
      </c>
      <c r="V16">
        <v>5.8692000000000002</v>
      </c>
      <c r="W16" s="4" t="s">
        <v>125</v>
      </c>
      <c r="X16" s="4" t="s">
        <v>116</v>
      </c>
    </row>
    <row r="17" spans="1:24" x14ac:dyDescent="0.25">
      <c r="A17" s="4">
        <v>2104008210</v>
      </c>
      <c r="B17">
        <v>6.4000000000000001E-2</v>
      </c>
      <c r="C17">
        <v>5.0000000000000001E-4</v>
      </c>
      <c r="D17">
        <v>8.0000000000000004E-4</v>
      </c>
      <c r="E17">
        <v>8.5000000000000006E-3</v>
      </c>
      <c r="F17">
        <v>8.5000000000000006E-3</v>
      </c>
      <c r="G17">
        <v>1E-4</v>
      </c>
      <c r="H17">
        <v>1.47E-2</v>
      </c>
      <c r="I17">
        <v>0.26529999999999998</v>
      </c>
      <c r="J17">
        <v>2E-3</v>
      </c>
      <c r="K17">
        <v>3.2000000000000002E-3</v>
      </c>
      <c r="L17">
        <v>3.5200000000000002E-2</v>
      </c>
      <c r="M17">
        <v>3.5200000000000002E-2</v>
      </c>
      <c r="N17">
        <v>5.0000000000000001E-4</v>
      </c>
      <c r="O17">
        <v>6.0900000000000003E-2</v>
      </c>
      <c r="P17">
        <v>0.32929999999999998</v>
      </c>
      <c r="Q17">
        <v>2.3999999999999998E-3</v>
      </c>
      <c r="R17">
        <v>4.0000000000000001E-3</v>
      </c>
      <c r="S17">
        <v>4.3700000000000003E-2</v>
      </c>
      <c r="T17">
        <v>4.3700000000000003E-2</v>
      </c>
      <c r="U17">
        <v>5.9999999999999995E-4</v>
      </c>
      <c r="V17">
        <v>7.5600000000000001E-2</v>
      </c>
      <c r="W17" s="4" t="s">
        <v>126</v>
      </c>
      <c r="X17" s="4" t="s">
        <v>116</v>
      </c>
    </row>
    <row r="18" spans="1:24" x14ac:dyDescent="0.25">
      <c r="A18" s="4">
        <v>2104008220</v>
      </c>
      <c r="B18">
        <v>0.1205</v>
      </c>
      <c r="C18">
        <v>8.0000000000000004E-4</v>
      </c>
      <c r="D18">
        <v>1.6999999999999999E-3</v>
      </c>
      <c r="E18">
        <v>1.03E-2</v>
      </c>
      <c r="F18">
        <v>1.03E-2</v>
      </c>
      <c r="G18">
        <v>2.9999999999999997E-4</v>
      </c>
      <c r="H18">
        <v>1.03E-2</v>
      </c>
      <c r="I18">
        <v>0.49909999999999999</v>
      </c>
      <c r="J18">
        <v>3.2000000000000002E-3</v>
      </c>
      <c r="K18">
        <v>7.1000000000000004E-3</v>
      </c>
      <c r="L18">
        <v>4.2500000000000003E-2</v>
      </c>
      <c r="M18">
        <v>4.2500000000000003E-2</v>
      </c>
      <c r="N18">
        <v>1.4E-3</v>
      </c>
      <c r="O18">
        <v>4.2500000000000003E-2</v>
      </c>
      <c r="P18">
        <v>0.61950000000000005</v>
      </c>
      <c r="Q18">
        <v>4.0000000000000001E-3</v>
      </c>
      <c r="R18">
        <v>8.8000000000000005E-3</v>
      </c>
      <c r="S18">
        <v>5.28E-2</v>
      </c>
      <c r="T18">
        <v>5.28E-2</v>
      </c>
      <c r="U18">
        <v>1.8E-3</v>
      </c>
      <c r="V18">
        <v>5.28E-2</v>
      </c>
      <c r="W18" s="4" t="s">
        <v>127</v>
      </c>
      <c r="X18" s="4" t="s">
        <v>116</v>
      </c>
    </row>
    <row r="19" spans="1:24" x14ac:dyDescent="0.25">
      <c r="A19" s="4">
        <v>2104008230</v>
      </c>
      <c r="B19">
        <v>0.1331</v>
      </c>
      <c r="C19">
        <v>1.1000000000000001E-3</v>
      </c>
      <c r="D19">
        <v>2.5000000000000001E-3</v>
      </c>
      <c r="E19">
        <v>1.6199999999999999E-2</v>
      </c>
      <c r="F19">
        <v>1.6199999999999999E-2</v>
      </c>
      <c r="G19">
        <v>5.0000000000000001E-4</v>
      </c>
      <c r="H19">
        <v>1.8700000000000001E-2</v>
      </c>
      <c r="I19">
        <v>0.55130000000000001</v>
      </c>
      <c r="J19">
        <v>4.5999999999999999E-3</v>
      </c>
      <c r="K19">
        <v>1.03E-2</v>
      </c>
      <c r="L19">
        <v>6.7000000000000004E-2</v>
      </c>
      <c r="M19">
        <v>6.7000000000000004E-2</v>
      </c>
      <c r="N19">
        <v>2.0999999999999999E-3</v>
      </c>
      <c r="O19">
        <v>7.7299999999999994E-2</v>
      </c>
      <c r="P19">
        <v>0.68430000000000002</v>
      </c>
      <c r="Q19">
        <v>5.7999999999999996E-3</v>
      </c>
      <c r="R19">
        <v>1.2800000000000001E-2</v>
      </c>
      <c r="S19">
        <v>8.3099999999999993E-2</v>
      </c>
      <c r="T19">
        <v>8.3099999999999993E-2</v>
      </c>
      <c r="U19">
        <v>2.5999999999999999E-3</v>
      </c>
      <c r="V19">
        <v>9.5899999999999999E-2</v>
      </c>
      <c r="W19" s="4" t="s">
        <v>128</v>
      </c>
      <c r="X19" s="4" t="s">
        <v>116</v>
      </c>
    </row>
    <row r="20" spans="1:24" x14ac:dyDescent="0.25">
      <c r="A20" s="4">
        <v>2104008310</v>
      </c>
      <c r="B20">
        <v>0.27510000000000001</v>
      </c>
      <c r="C20">
        <v>8.9999999999999998E-4</v>
      </c>
      <c r="D20">
        <v>3.3E-3</v>
      </c>
      <c r="E20">
        <v>2.76E-2</v>
      </c>
      <c r="F20">
        <v>2.76E-2</v>
      </c>
      <c r="G20">
        <v>8.9999999999999998E-4</v>
      </c>
      <c r="H20">
        <v>0.1203</v>
      </c>
      <c r="I20">
        <v>1.1395999999999999</v>
      </c>
      <c r="J20">
        <v>3.7000000000000002E-3</v>
      </c>
      <c r="K20">
        <v>1.37E-2</v>
      </c>
      <c r="L20">
        <v>0.1142</v>
      </c>
      <c r="M20">
        <v>0.1142</v>
      </c>
      <c r="N20">
        <v>3.8E-3</v>
      </c>
      <c r="O20">
        <v>0.4985</v>
      </c>
      <c r="P20">
        <v>1.4147000000000001</v>
      </c>
      <c r="Q20">
        <v>4.5999999999999999E-3</v>
      </c>
      <c r="R20">
        <v>1.7000000000000001E-2</v>
      </c>
      <c r="S20">
        <v>0.14180000000000001</v>
      </c>
      <c r="T20">
        <v>0.14180000000000001</v>
      </c>
      <c r="U20">
        <v>4.7000000000000002E-3</v>
      </c>
      <c r="V20">
        <v>0.61880000000000002</v>
      </c>
      <c r="W20" s="4" t="s">
        <v>129</v>
      </c>
      <c r="X20" s="4" t="s">
        <v>116</v>
      </c>
    </row>
    <row r="21" spans="1:24" x14ac:dyDescent="0.25">
      <c r="A21" s="4">
        <v>2104008320</v>
      </c>
      <c r="B21">
        <v>0.86539999999999995</v>
      </c>
      <c r="C21">
        <v>1.6999999999999999E-3</v>
      </c>
      <c r="D21">
        <v>1.1299999999999999E-2</v>
      </c>
      <c r="E21">
        <v>5.5500000000000001E-2</v>
      </c>
      <c r="F21">
        <v>5.5500000000000001E-2</v>
      </c>
      <c r="G21">
        <v>2.8E-3</v>
      </c>
      <c r="H21">
        <v>8.4000000000000005E-2</v>
      </c>
      <c r="I21">
        <v>3.5855000000000001</v>
      </c>
      <c r="J21">
        <v>7.1999999999999998E-3</v>
      </c>
      <c r="K21">
        <v>4.6699999999999998E-2</v>
      </c>
      <c r="L21">
        <v>0.2298</v>
      </c>
      <c r="M21">
        <v>0.2298</v>
      </c>
      <c r="N21">
        <v>1.1599999999999999E-2</v>
      </c>
      <c r="O21">
        <v>0.34799999999999998</v>
      </c>
      <c r="P21">
        <v>4.4508000000000001</v>
      </c>
      <c r="Q21">
        <v>8.9999999999999993E-3</v>
      </c>
      <c r="R21">
        <v>5.79E-2</v>
      </c>
      <c r="S21">
        <v>0.2853</v>
      </c>
      <c r="T21">
        <v>0.2853</v>
      </c>
      <c r="U21">
        <v>1.44E-2</v>
      </c>
      <c r="V21">
        <v>0.432</v>
      </c>
      <c r="W21" s="4" t="s">
        <v>130</v>
      </c>
      <c r="X21" s="4" t="s">
        <v>116</v>
      </c>
    </row>
    <row r="22" spans="1:24" x14ac:dyDescent="0.25">
      <c r="A22" s="4">
        <v>2104008330</v>
      </c>
      <c r="B22">
        <v>1.2579</v>
      </c>
      <c r="C22">
        <v>2.5000000000000001E-3</v>
      </c>
      <c r="D22">
        <v>1.6400000000000001E-2</v>
      </c>
      <c r="E22">
        <v>8.9499999999999996E-2</v>
      </c>
      <c r="F22">
        <v>8.9499999999999996E-2</v>
      </c>
      <c r="G22">
        <v>4.1000000000000003E-3</v>
      </c>
      <c r="H22">
        <v>0.15260000000000001</v>
      </c>
      <c r="I22">
        <v>5.2117000000000004</v>
      </c>
      <c r="J22">
        <v>1.0500000000000001E-2</v>
      </c>
      <c r="K22">
        <v>6.7799999999999999E-2</v>
      </c>
      <c r="L22">
        <v>0.37069999999999997</v>
      </c>
      <c r="M22">
        <v>0.37069999999999997</v>
      </c>
      <c r="N22">
        <v>1.6899999999999998E-2</v>
      </c>
      <c r="O22">
        <v>0.63229999999999997</v>
      </c>
      <c r="P22">
        <v>6.4695</v>
      </c>
      <c r="Q22">
        <v>1.3100000000000001E-2</v>
      </c>
      <c r="R22">
        <v>8.4199999999999997E-2</v>
      </c>
      <c r="S22">
        <v>0.46010000000000001</v>
      </c>
      <c r="T22">
        <v>0.46010000000000001</v>
      </c>
      <c r="U22">
        <v>2.0899999999999998E-2</v>
      </c>
      <c r="V22">
        <v>0.78490000000000004</v>
      </c>
      <c r="W22" s="4" t="s">
        <v>131</v>
      </c>
      <c r="X22" s="4" t="s">
        <v>116</v>
      </c>
    </row>
    <row r="23" spans="1:24" x14ac:dyDescent="0.25">
      <c r="A23" s="4">
        <v>2104008410</v>
      </c>
      <c r="B23">
        <v>3.5999999999999999E-3</v>
      </c>
      <c r="C23">
        <v>0</v>
      </c>
      <c r="D23">
        <v>1.5E-3</v>
      </c>
      <c r="E23">
        <v>1.1000000000000001E-3</v>
      </c>
      <c r="F23">
        <v>1.1000000000000001E-3</v>
      </c>
      <c r="G23">
        <v>1E-4</v>
      </c>
      <c r="H23">
        <v>8.0000000000000004E-4</v>
      </c>
      <c r="I23">
        <v>1.5100000000000001E-2</v>
      </c>
      <c r="J23">
        <v>1E-4</v>
      </c>
      <c r="K23">
        <v>6.1000000000000004E-3</v>
      </c>
      <c r="L23">
        <v>4.4999999999999997E-3</v>
      </c>
      <c r="M23">
        <v>4.4999999999999997E-3</v>
      </c>
      <c r="N23">
        <v>5.0000000000000001E-4</v>
      </c>
      <c r="O23">
        <v>3.5000000000000001E-3</v>
      </c>
      <c r="P23">
        <v>1.8800000000000001E-2</v>
      </c>
      <c r="Q23">
        <v>1E-4</v>
      </c>
      <c r="R23">
        <v>7.6E-3</v>
      </c>
      <c r="S23">
        <v>5.5999999999999999E-3</v>
      </c>
      <c r="T23">
        <v>5.5999999999999999E-3</v>
      </c>
      <c r="U23">
        <v>5.9999999999999995E-4</v>
      </c>
      <c r="V23">
        <v>4.3E-3</v>
      </c>
      <c r="W23" s="4" t="s">
        <v>132</v>
      </c>
      <c r="X23" s="4" t="s">
        <v>116</v>
      </c>
    </row>
    <row r="24" spans="1:24" x14ac:dyDescent="0.25">
      <c r="A24" s="4">
        <v>2104008420</v>
      </c>
      <c r="B24">
        <v>2.76E-2</v>
      </c>
      <c r="C24">
        <v>2.0000000000000001E-4</v>
      </c>
      <c r="D24">
        <v>1.11E-2</v>
      </c>
      <c r="E24">
        <v>8.2000000000000007E-3</v>
      </c>
      <c r="F24">
        <v>8.2000000000000007E-3</v>
      </c>
      <c r="G24">
        <v>8.9999999999999998E-4</v>
      </c>
      <c r="H24">
        <v>6.4000000000000003E-3</v>
      </c>
      <c r="I24">
        <v>0.1143</v>
      </c>
      <c r="J24">
        <v>8.0000000000000004E-4</v>
      </c>
      <c r="K24">
        <v>4.6100000000000002E-2</v>
      </c>
      <c r="L24">
        <v>3.4099999999999998E-2</v>
      </c>
      <c r="M24">
        <v>3.4099999999999998E-2</v>
      </c>
      <c r="N24">
        <v>3.7000000000000002E-3</v>
      </c>
      <c r="O24">
        <v>2.64E-2</v>
      </c>
      <c r="P24">
        <v>0.1419</v>
      </c>
      <c r="Q24">
        <v>1E-3</v>
      </c>
      <c r="R24">
        <v>5.7200000000000001E-2</v>
      </c>
      <c r="S24">
        <v>4.2299999999999997E-2</v>
      </c>
      <c r="T24">
        <v>4.2299999999999997E-2</v>
      </c>
      <c r="U24">
        <v>4.5999999999999999E-3</v>
      </c>
      <c r="V24">
        <v>3.2800000000000003E-2</v>
      </c>
      <c r="W24" s="4" t="s">
        <v>133</v>
      </c>
      <c r="X24" s="4" t="s">
        <v>116</v>
      </c>
    </row>
    <row r="25" spans="1:24" x14ac:dyDescent="0.25">
      <c r="A25" s="4">
        <v>2104008610</v>
      </c>
      <c r="B25">
        <v>4.3799999999999999E-2</v>
      </c>
      <c r="C25">
        <v>2.0000000000000001E-4</v>
      </c>
      <c r="D25">
        <v>1.1999999999999999E-3</v>
      </c>
      <c r="E25">
        <v>7.1000000000000004E-3</v>
      </c>
      <c r="F25">
        <v>7.1000000000000004E-3</v>
      </c>
      <c r="G25">
        <v>2.9999999999999997E-4</v>
      </c>
      <c r="H25">
        <v>3.2899999999999999E-2</v>
      </c>
      <c r="I25">
        <v>0.36270000000000002</v>
      </c>
      <c r="J25">
        <v>1.5E-3</v>
      </c>
      <c r="K25">
        <v>9.7000000000000003E-3</v>
      </c>
      <c r="L25">
        <v>5.91E-2</v>
      </c>
      <c r="M25">
        <v>5.91E-2</v>
      </c>
      <c r="N25">
        <v>2.3999999999999998E-3</v>
      </c>
      <c r="O25">
        <v>0.27189999999999998</v>
      </c>
      <c r="P25">
        <v>0.40649999999999997</v>
      </c>
      <c r="Q25">
        <v>1.6000000000000001E-3</v>
      </c>
      <c r="R25">
        <v>1.0800000000000001E-2</v>
      </c>
      <c r="S25">
        <v>6.6199999999999995E-2</v>
      </c>
      <c r="T25">
        <v>6.6199999999999995E-2</v>
      </c>
      <c r="U25">
        <v>2.7000000000000001E-3</v>
      </c>
      <c r="V25">
        <v>0.30470000000000003</v>
      </c>
      <c r="W25" s="4" t="s">
        <v>134</v>
      </c>
      <c r="X25" s="4" t="s">
        <v>116</v>
      </c>
    </row>
    <row r="26" spans="1:24" x14ac:dyDescent="0.25">
      <c r="X26" s="4"/>
    </row>
    <row r="27" spans="1:24" x14ac:dyDescent="0.25">
      <c r="B27" s="79">
        <f>SUMIFS(B8:B25,$X8:$X25,$X27)/B7</f>
        <v>0.9984149955206395</v>
      </c>
      <c r="C27" s="79">
        <f t="shared" ref="C27:V27" si="0">SUMIFS(C8:C25,$X8:$X25,$X27)/C7</f>
        <v>0.9666666666666669</v>
      </c>
      <c r="D27" s="79">
        <f t="shared" si="0"/>
        <v>0.31150550795593634</v>
      </c>
      <c r="E27" s="79">
        <f t="shared" si="0"/>
        <v>0.98189300411522629</v>
      </c>
      <c r="F27" s="79">
        <f t="shared" si="0"/>
        <v>0.98189300411522629</v>
      </c>
      <c r="G27" s="79">
        <f t="shared" si="0"/>
        <v>3.5465924895688457E-2</v>
      </c>
      <c r="H27" s="79">
        <f t="shared" si="0"/>
        <v>0.9873208379272328</v>
      </c>
      <c r="I27" s="79">
        <f t="shared" si="0"/>
        <v>0.99023654244589376</v>
      </c>
      <c r="J27" s="79">
        <f t="shared" si="0"/>
        <v>0.65074135090609564</v>
      </c>
      <c r="K27" s="79">
        <f t="shared" si="0"/>
        <v>0.12140659340659339</v>
      </c>
      <c r="L27" s="79">
        <f t="shared" si="0"/>
        <v>0.95685372103969457</v>
      </c>
      <c r="M27" s="79">
        <f t="shared" si="0"/>
        <v>0.95685372103969457</v>
      </c>
      <c r="N27" s="79">
        <f t="shared" si="0"/>
        <v>1.435964127990463E-2</v>
      </c>
      <c r="O27" s="79">
        <f t="shared" si="0"/>
        <v>0.98546330152501549</v>
      </c>
      <c r="P27" s="79">
        <f t="shared" si="0"/>
        <v>0.99134697497983015</v>
      </c>
      <c r="Q27" s="79">
        <f t="shared" si="0"/>
        <v>0.67306216423637766</v>
      </c>
      <c r="R27" s="79">
        <f t="shared" si="0"/>
        <v>0.13406332020997375</v>
      </c>
      <c r="S27" s="79">
        <f t="shared" si="0"/>
        <v>0.95958424203053205</v>
      </c>
      <c r="T27" s="79">
        <f t="shared" si="0"/>
        <v>0.95958424203053205</v>
      </c>
      <c r="U27" s="79">
        <f t="shared" si="0"/>
        <v>1.5885383938670356E-2</v>
      </c>
      <c r="V27" s="79">
        <f t="shared" si="0"/>
        <v>0.98554799661634895</v>
      </c>
      <c r="X27" s="4" t="s">
        <v>116</v>
      </c>
    </row>
    <row r="28" spans="1:24" x14ac:dyDescent="0.25">
      <c r="B28" s="79">
        <f>SUMIFS(B8:B25,$X8:$X25,$X28)/B7</f>
        <v>1.5160912411274203E-3</v>
      </c>
      <c r="C28" s="79">
        <f t="shared" ref="C28:V28" si="1">SUMIFS(C8:C25,$X8:$X25,$X28)/C7</f>
        <v>2.2222222222222227E-2</v>
      </c>
      <c r="D28" s="79">
        <f t="shared" si="1"/>
        <v>0.68910648714810285</v>
      </c>
      <c r="E28" s="79">
        <f t="shared" si="1"/>
        <v>1.8518518518518517E-2</v>
      </c>
      <c r="F28" s="79">
        <f t="shared" si="1"/>
        <v>1.8518518518518517E-2</v>
      </c>
      <c r="G28" s="79">
        <f t="shared" si="1"/>
        <v>0.96453407510431155</v>
      </c>
      <c r="H28" s="79">
        <f t="shared" si="1"/>
        <v>1.2862918044836457E-2</v>
      </c>
      <c r="I28" s="79">
        <f t="shared" si="1"/>
        <v>3.4603967702963477E-3</v>
      </c>
      <c r="J28" s="79">
        <f t="shared" si="1"/>
        <v>2.8830313014827021E-2</v>
      </c>
      <c r="K28" s="79">
        <f t="shared" si="1"/>
        <v>0.78232967032967027</v>
      </c>
      <c r="L28" s="79">
        <f t="shared" si="1"/>
        <v>3.3680246849014175E-2</v>
      </c>
      <c r="M28" s="79">
        <f t="shared" si="1"/>
        <v>3.3680246849014175E-2</v>
      </c>
      <c r="N28" s="79">
        <f t="shared" si="1"/>
        <v>0.97973394023137983</v>
      </c>
      <c r="O28" s="79">
        <f t="shared" si="1"/>
        <v>1.2829496375380616E-2</v>
      </c>
      <c r="P28" s="79">
        <f t="shared" si="1"/>
        <v>3.1894465177943754E-3</v>
      </c>
      <c r="Q28" s="79">
        <f t="shared" si="1"/>
        <v>2.8396009209516501E-2</v>
      </c>
      <c r="R28" s="79">
        <f t="shared" si="1"/>
        <v>0.77608267716535428</v>
      </c>
      <c r="S28" s="79">
        <f t="shared" si="1"/>
        <v>3.1970674214653605E-2</v>
      </c>
      <c r="T28" s="79">
        <f t="shared" si="1"/>
        <v>3.1970674214653605E-2</v>
      </c>
      <c r="U28" s="79">
        <f t="shared" si="1"/>
        <v>0.9786100289053663</v>
      </c>
      <c r="V28" s="79">
        <f t="shared" si="1"/>
        <v>1.283166335052959E-2</v>
      </c>
      <c r="X28" s="4" t="s">
        <v>115</v>
      </c>
    </row>
    <row r="29" spans="1:24" x14ac:dyDescent="0.25">
      <c r="B29" s="79">
        <f>SUMIFS(B8:B25,$X8:$X25,$X29)/B7</f>
        <v>1.0336985734959687E-4</v>
      </c>
      <c r="C29" s="79">
        <f t="shared" ref="C29:V29" si="2">SUMIFS(C8:C25,$X8:$X25,$X29)/C7</f>
        <v>0</v>
      </c>
      <c r="D29" s="79">
        <f t="shared" si="2"/>
        <v>0</v>
      </c>
      <c r="E29" s="79">
        <f t="shared" si="2"/>
        <v>0</v>
      </c>
      <c r="F29" s="79">
        <f t="shared" si="2"/>
        <v>0</v>
      </c>
      <c r="G29" s="79">
        <f t="shared" si="2"/>
        <v>0</v>
      </c>
      <c r="H29" s="79">
        <f t="shared" si="2"/>
        <v>0</v>
      </c>
      <c r="I29" s="79">
        <f t="shared" si="2"/>
        <v>1.7547983621881956E-3</v>
      </c>
      <c r="J29" s="79">
        <f t="shared" si="2"/>
        <v>2.4711696869851728E-3</v>
      </c>
      <c r="K29" s="79">
        <f t="shared" si="2"/>
        <v>5.2747252747252754E-4</v>
      </c>
      <c r="L29" s="79">
        <f t="shared" si="2"/>
        <v>1.0459703990377074E-3</v>
      </c>
      <c r="M29" s="79">
        <f t="shared" si="2"/>
        <v>1.0459703990377074E-3</v>
      </c>
      <c r="N29" s="79">
        <f t="shared" si="2"/>
        <v>6.2315424422227641E-4</v>
      </c>
      <c r="O29" s="79">
        <f t="shared" si="2"/>
        <v>3.0576754022754198E-4</v>
      </c>
      <c r="P29" s="79">
        <f t="shared" si="2"/>
        <v>1.5333877489396035E-3</v>
      </c>
      <c r="Q29" s="79">
        <f t="shared" si="2"/>
        <v>2.3023791250959321E-3</v>
      </c>
      <c r="R29" s="79">
        <f t="shared" si="2"/>
        <v>4.921259842519685E-4</v>
      </c>
      <c r="S29" s="79">
        <f t="shared" si="2"/>
        <v>9.2803118184771013E-4</v>
      </c>
      <c r="T29" s="79">
        <f t="shared" si="2"/>
        <v>9.2803118184771013E-4</v>
      </c>
      <c r="U29" s="79">
        <f t="shared" si="2"/>
        <v>5.7810732688199067E-4</v>
      </c>
      <c r="V29" s="79">
        <f t="shared" si="2"/>
        <v>2.8594235878617467E-4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4.5482624216217392E-3</v>
      </c>
      <c r="J30" s="79">
        <f t="shared" si="3"/>
        <v>0.31713344316309722</v>
      </c>
      <c r="K30" s="79">
        <f t="shared" si="3"/>
        <v>9.5736263736263746E-2</v>
      </c>
      <c r="L30" s="79">
        <f t="shared" si="3"/>
        <v>8.4723602322054285E-3</v>
      </c>
      <c r="M30" s="79">
        <f t="shared" si="3"/>
        <v>8.4723602322054285E-3</v>
      </c>
      <c r="N30" s="79">
        <f t="shared" si="3"/>
        <v>5.3374515700777584E-3</v>
      </c>
      <c r="O30" s="79">
        <f t="shared" si="3"/>
        <v>1.4141748735523819E-3</v>
      </c>
      <c r="P30" s="79">
        <f t="shared" si="3"/>
        <v>3.9254726372853843E-3</v>
      </c>
      <c r="Q30" s="79">
        <f t="shared" si="3"/>
        <v>0.29547198772064465</v>
      </c>
      <c r="R30" s="79">
        <f t="shared" si="3"/>
        <v>8.9320866141732291E-2</v>
      </c>
      <c r="S30" s="79">
        <f t="shared" si="3"/>
        <v>7.517052572966451E-3</v>
      </c>
      <c r="T30" s="79">
        <f t="shared" si="3"/>
        <v>7.517052572966451E-3</v>
      </c>
      <c r="U30" s="79">
        <f t="shared" si="3"/>
        <v>4.951614930250094E-3</v>
      </c>
      <c r="V30" s="79">
        <f t="shared" si="3"/>
        <v>1.322483409386058E-3</v>
      </c>
      <c r="X30" s="4" t="s">
        <v>113</v>
      </c>
    </row>
    <row r="33" spans="1:24" x14ac:dyDescent="0.25">
      <c r="A33" t="s">
        <v>200</v>
      </c>
    </row>
    <row r="34" spans="1:24" x14ac:dyDescent="0.25">
      <c r="A34" s="77" t="s">
        <v>201</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2.9022000000000001</v>
      </c>
      <c r="C38">
        <v>8.9999999999999993E-3</v>
      </c>
      <c r="D38">
        <v>0.16339999999999999</v>
      </c>
      <c r="E38">
        <v>0.24299999999999999</v>
      </c>
      <c r="F38">
        <v>0.24299999999999999</v>
      </c>
      <c r="G38">
        <v>0.28760000000000002</v>
      </c>
      <c r="H38">
        <v>0.54420000000000002</v>
      </c>
      <c r="I38">
        <v>18.2927</v>
      </c>
      <c r="J38">
        <v>0.12139999999999999</v>
      </c>
      <c r="K38">
        <v>2.2749999999999999</v>
      </c>
      <c r="L38">
        <v>1.9120999999999999</v>
      </c>
      <c r="M38">
        <v>1.9120999999999999</v>
      </c>
      <c r="N38">
        <v>3.6909000000000001</v>
      </c>
      <c r="O38">
        <v>7.8491</v>
      </c>
      <c r="P38">
        <v>21.194900000000001</v>
      </c>
      <c r="Q38">
        <v>0.1303</v>
      </c>
      <c r="R38">
        <v>2.4384000000000001</v>
      </c>
      <c r="S38">
        <v>2.1551</v>
      </c>
      <c r="T38">
        <v>2.1551</v>
      </c>
      <c r="U38">
        <v>3.9784999999999999</v>
      </c>
      <c r="V38">
        <v>8.3933</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6.7999999999999996E-3</v>
      </c>
      <c r="E41">
        <v>2.0000000000000001E-4</v>
      </c>
      <c r="F41">
        <v>2.0000000000000001E-4</v>
      </c>
      <c r="G41">
        <v>4.7999999999999996E-3</v>
      </c>
      <c r="H41">
        <v>2.9999999999999997E-4</v>
      </c>
      <c r="I41">
        <v>1.29E-2</v>
      </c>
      <c r="J41">
        <v>6.9999999999999999E-4</v>
      </c>
      <c r="K41">
        <v>0.51759999999999995</v>
      </c>
      <c r="L41">
        <v>1.3100000000000001E-2</v>
      </c>
      <c r="M41">
        <v>1.3100000000000001E-2</v>
      </c>
      <c r="N41">
        <v>0.3659</v>
      </c>
      <c r="O41">
        <v>2.0500000000000001E-2</v>
      </c>
      <c r="P41">
        <v>1.2999999999999999E-2</v>
      </c>
      <c r="Q41">
        <v>6.9999999999999999E-4</v>
      </c>
      <c r="R41">
        <v>0.52439999999999998</v>
      </c>
      <c r="S41">
        <v>1.3299999999999999E-2</v>
      </c>
      <c r="T41">
        <v>1.3299999999999999E-2</v>
      </c>
      <c r="U41">
        <v>0.37069999999999997</v>
      </c>
      <c r="V41">
        <v>2.0799999999999999E-2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2.7900000000000001E-2</v>
      </c>
      <c r="J44">
        <v>2.9999999999999997E-4</v>
      </c>
      <c r="K44">
        <v>1E-3</v>
      </c>
      <c r="L44">
        <v>1.6999999999999999E-3</v>
      </c>
      <c r="M44">
        <v>1.6999999999999999E-3</v>
      </c>
      <c r="N44">
        <v>2E-3</v>
      </c>
      <c r="O44">
        <v>2.0999999999999999E-3</v>
      </c>
      <c r="P44">
        <v>2.8000000000000001E-2</v>
      </c>
      <c r="Q44">
        <v>2.9999999999999997E-4</v>
      </c>
      <c r="R44">
        <v>1E-3</v>
      </c>
      <c r="S44">
        <v>1.6999999999999999E-3</v>
      </c>
      <c r="T44">
        <v>1.6999999999999999E-3</v>
      </c>
      <c r="U44">
        <v>2E-3</v>
      </c>
      <c r="V44">
        <v>2.0999999999999999E-3</v>
      </c>
      <c r="W44" s="4" t="s">
        <v>122</v>
      </c>
      <c r="X44" s="4" t="s">
        <v>114</v>
      </c>
    </row>
    <row r="45" spans="1:24" x14ac:dyDescent="0.25">
      <c r="A45" s="4">
        <v>2104004000</v>
      </c>
      <c r="B45">
        <v>4.1999999999999997E-3</v>
      </c>
      <c r="C45">
        <v>2.0000000000000001E-4</v>
      </c>
      <c r="D45">
        <v>0.10580000000000001</v>
      </c>
      <c r="E45">
        <v>4.3E-3</v>
      </c>
      <c r="F45">
        <v>4.3E-3</v>
      </c>
      <c r="G45">
        <v>0.27260000000000001</v>
      </c>
      <c r="H45">
        <v>6.7000000000000002E-3</v>
      </c>
      <c r="I45">
        <v>5.04E-2</v>
      </c>
      <c r="J45">
        <v>2.8E-3</v>
      </c>
      <c r="K45">
        <v>1.2622</v>
      </c>
      <c r="L45">
        <v>5.1299999999999998E-2</v>
      </c>
      <c r="M45">
        <v>5.1299999999999998E-2</v>
      </c>
      <c r="N45">
        <v>3.2502</v>
      </c>
      <c r="O45">
        <v>8.0199999999999994E-2</v>
      </c>
      <c r="P45">
        <v>5.4600000000000003E-2</v>
      </c>
      <c r="Q45">
        <v>3.0000000000000001E-3</v>
      </c>
      <c r="R45">
        <v>1.3680000000000001</v>
      </c>
      <c r="S45">
        <v>5.5599999999999997E-2</v>
      </c>
      <c r="T45">
        <v>5.5599999999999997E-2</v>
      </c>
      <c r="U45">
        <v>3.5226999999999999</v>
      </c>
      <c r="V45">
        <v>8.6900000000000005E-2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0.10630000000000001</v>
      </c>
      <c r="C47">
        <v>8.0000000000000004E-4</v>
      </c>
      <c r="D47">
        <v>1.1000000000000001E-3</v>
      </c>
      <c r="E47">
        <v>1.46E-2</v>
      </c>
      <c r="F47">
        <v>1.46E-2</v>
      </c>
      <c r="G47">
        <v>2.0000000000000001E-4</v>
      </c>
      <c r="H47">
        <v>9.64E-2</v>
      </c>
      <c r="I47">
        <v>6.3677000000000001</v>
      </c>
      <c r="J47">
        <v>4.5400000000000003E-2</v>
      </c>
      <c r="K47">
        <v>6.5500000000000003E-2</v>
      </c>
      <c r="L47">
        <v>0.87219999999999998</v>
      </c>
      <c r="M47">
        <v>0.87219999999999998</v>
      </c>
      <c r="N47">
        <v>1.01E-2</v>
      </c>
      <c r="O47">
        <v>5.7728000000000002</v>
      </c>
      <c r="P47">
        <v>6.4741</v>
      </c>
      <c r="Q47">
        <v>4.6100000000000002E-2</v>
      </c>
      <c r="R47">
        <v>6.6600000000000006E-2</v>
      </c>
      <c r="S47">
        <v>0.88680000000000003</v>
      </c>
      <c r="T47">
        <v>0.88680000000000003</v>
      </c>
      <c r="U47">
        <v>1.03E-2</v>
      </c>
      <c r="V47">
        <v>5.8692000000000002</v>
      </c>
      <c r="W47" s="4" t="s">
        <v>125</v>
      </c>
      <c r="X47" s="4" t="s">
        <v>116</v>
      </c>
    </row>
    <row r="48" spans="1:24" x14ac:dyDescent="0.25">
      <c r="A48" s="4">
        <v>2104008210</v>
      </c>
      <c r="B48">
        <v>6.4000000000000001E-2</v>
      </c>
      <c r="C48">
        <v>5.0000000000000001E-4</v>
      </c>
      <c r="D48">
        <v>8.0000000000000004E-4</v>
      </c>
      <c r="E48">
        <v>8.5000000000000006E-3</v>
      </c>
      <c r="F48">
        <v>8.5000000000000006E-3</v>
      </c>
      <c r="G48">
        <v>1E-4</v>
      </c>
      <c r="H48">
        <v>1.47E-2</v>
      </c>
      <c r="I48">
        <v>0.26529999999999998</v>
      </c>
      <c r="J48">
        <v>2E-3</v>
      </c>
      <c r="K48">
        <v>3.2000000000000002E-3</v>
      </c>
      <c r="L48">
        <v>3.5200000000000002E-2</v>
      </c>
      <c r="M48">
        <v>3.5200000000000002E-2</v>
      </c>
      <c r="N48">
        <v>5.0000000000000001E-4</v>
      </c>
      <c r="O48">
        <v>6.0900000000000003E-2</v>
      </c>
      <c r="P48">
        <v>0.32929999999999998</v>
      </c>
      <c r="Q48">
        <v>2.3999999999999998E-3</v>
      </c>
      <c r="R48">
        <v>4.0000000000000001E-3</v>
      </c>
      <c r="S48">
        <v>4.3700000000000003E-2</v>
      </c>
      <c r="T48">
        <v>4.3700000000000003E-2</v>
      </c>
      <c r="U48">
        <v>5.9999999999999995E-4</v>
      </c>
      <c r="V48">
        <v>7.5600000000000001E-2</v>
      </c>
      <c r="W48" s="4" t="s">
        <v>126</v>
      </c>
      <c r="X48" s="4" t="s">
        <v>116</v>
      </c>
    </row>
    <row r="49" spans="1:24" x14ac:dyDescent="0.25">
      <c r="A49" s="4">
        <v>2104008220</v>
      </c>
      <c r="B49">
        <v>0.1205</v>
      </c>
      <c r="C49">
        <v>8.0000000000000004E-4</v>
      </c>
      <c r="D49">
        <v>1.6999999999999999E-3</v>
      </c>
      <c r="E49">
        <v>1.03E-2</v>
      </c>
      <c r="F49">
        <v>1.03E-2</v>
      </c>
      <c r="G49">
        <v>2.9999999999999997E-4</v>
      </c>
      <c r="H49">
        <v>1.03E-2</v>
      </c>
      <c r="I49">
        <v>0.49909999999999999</v>
      </c>
      <c r="J49">
        <v>3.2000000000000002E-3</v>
      </c>
      <c r="K49">
        <v>7.1000000000000004E-3</v>
      </c>
      <c r="L49">
        <v>4.2500000000000003E-2</v>
      </c>
      <c r="M49">
        <v>4.2500000000000003E-2</v>
      </c>
      <c r="N49">
        <v>1.4E-3</v>
      </c>
      <c r="O49">
        <v>4.2500000000000003E-2</v>
      </c>
      <c r="P49">
        <v>0.61950000000000005</v>
      </c>
      <c r="Q49">
        <v>4.0000000000000001E-3</v>
      </c>
      <c r="R49">
        <v>8.8000000000000005E-3</v>
      </c>
      <c r="S49">
        <v>5.28E-2</v>
      </c>
      <c r="T49">
        <v>5.28E-2</v>
      </c>
      <c r="U49">
        <v>1.8E-3</v>
      </c>
      <c r="V49">
        <v>5.28E-2</v>
      </c>
      <c r="W49" s="4" t="s">
        <v>127</v>
      </c>
      <c r="X49" s="4" t="s">
        <v>116</v>
      </c>
    </row>
    <row r="50" spans="1:24" x14ac:dyDescent="0.25">
      <c r="A50" s="4">
        <v>2104008230</v>
      </c>
      <c r="B50">
        <v>0.1331</v>
      </c>
      <c r="C50">
        <v>1.1000000000000001E-3</v>
      </c>
      <c r="D50">
        <v>2.5000000000000001E-3</v>
      </c>
      <c r="E50">
        <v>1.6199999999999999E-2</v>
      </c>
      <c r="F50">
        <v>1.6199999999999999E-2</v>
      </c>
      <c r="G50">
        <v>5.0000000000000001E-4</v>
      </c>
      <c r="H50">
        <v>1.8700000000000001E-2</v>
      </c>
      <c r="I50">
        <v>0.55130000000000001</v>
      </c>
      <c r="J50">
        <v>4.5999999999999999E-3</v>
      </c>
      <c r="K50">
        <v>1.03E-2</v>
      </c>
      <c r="L50">
        <v>6.7000000000000004E-2</v>
      </c>
      <c r="M50">
        <v>6.7000000000000004E-2</v>
      </c>
      <c r="N50">
        <v>2.0999999999999999E-3</v>
      </c>
      <c r="O50">
        <v>7.7299999999999994E-2</v>
      </c>
      <c r="P50">
        <v>0.68430000000000002</v>
      </c>
      <c r="Q50">
        <v>5.7999999999999996E-3</v>
      </c>
      <c r="R50">
        <v>1.2800000000000001E-2</v>
      </c>
      <c r="S50">
        <v>8.3099999999999993E-2</v>
      </c>
      <c r="T50">
        <v>8.3099999999999993E-2</v>
      </c>
      <c r="U50">
        <v>2.5999999999999999E-3</v>
      </c>
      <c r="V50">
        <v>9.5899999999999999E-2</v>
      </c>
      <c r="W50" s="4" t="s">
        <v>128</v>
      </c>
      <c r="X50" s="4" t="s">
        <v>116</v>
      </c>
    </row>
    <row r="51" spans="1:24" x14ac:dyDescent="0.25">
      <c r="A51" s="4">
        <v>2104008310</v>
      </c>
      <c r="B51">
        <v>0.27510000000000001</v>
      </c>
      <c r="C51">
        <v>8.9999999999999998E-4</v>
      </c>
      <c r="D51">
        <v>3.3E-3</v>
      </c>
      <c r="E51">
        <v>2.76E-2</v>
      </c>
      <c r="F51">
        <v>2.76E-2</v>
      </c>
      <c r="G51">
        <v>8.9999999999999998E-4</v>
      </c>
      <c r="H51">
        <v>0.1203</v>
      </c>
      <c r="I51">
        <v>1.1395999999999999</v>
      </c>
      <c r="J51">
        <v>3.7000000000000002E-3</v>
      </c>
      <c r="K51">
        <v>1.37E-2</v>
      </c>
      <c r="L51">
        <v>0.1142</v>
      </c>
      <c r="M51">
        <v>0.1142</v>
      </c>
      <c r="N51">
        <v>3.8E-3</v>
      </c>
      <c r="O51">
        <v>0.4985</v>
      </c>
      <c r="P51">
        <v>1.4147000000000001</v>
      </c>
      <c r="Q51">
        <v>4.5999999999999999E-3</v>
      </c>
      <c r="R51">
        <v>1.7000000000000001E-2</v>
      </c>
      <c r="S51">
        <v>0.14180000000000001</v>
      </c>
      <c r="T51">
        <v>0.14180000000000001</v>
      </c>
      <c r="U51">
        <v>4.7000000000000002E-3</v>
      </c>
      <c r="V51">
        <v>0.61880000000000002</v>
      </c>
      <c r="W51" s="4" t="s">
        <v>129</v>
      </c>
      <c r="X51" s="4" t="s">
        <v>116</v>
      </c>
    </row>
    <row r="52" spans="1:24" x14ac:dyDescent="0.25">
      <c r="A52" s="4">
        <v>2104008320</v>
      </c>
      <c r="B52">
        <v>0.86539999999999995</v>
      </c>
      <c r="C52">
        <v>1.6999999999999999E-3</v>
      </c>
      <c r="D52">
        <v>1.1299999999999999E-2</v>
      </c>
      <c r="E52">
        <v>5.5500000000000001E-2</v>
      </c>
      <c r="F52">
        <v>5.5500000000000001E-2</v>
      </c>
      <c r="G52">
        <v>2.8E-3</v>
      </c>
      <c r="H52">
        <v>8.4000000000000005E-2</v>
      </c>
      <c r="I52">
        <v>3.5855000000000001</v>
      </c>
      <c r="J52">
        <v>7.1999999999999998E-3</v>
      </c>
      <c r="K52">
        <v>4.6699999999999998E-2</v>
      </c>
      <c r="L52">
        <v>0.2298</v>
      </c>
      <c r="M52">
        <v>0.2298</v>
      </c>
      <c r="N52">
        <v>1.1599999999999999E-2</v>
      </c>
      <c r="O52">
        <v>0.34799999999999998</v>
      </c>
      <c r="P52">
        <v>4.4508000000000001</v>
      </c>
      <c r="Q52">
        <v>8.9999999999999993E-3</v>
      </c>
      <c r="R52">
        <v>5.79E-2</v>
      </c>
      <c r="S52">
        <v>0.2853</v>
      </c>
      <c r="T52">
        <v>0.2853</v>
      </c>
      <c r="U52">
        <v>1.44E-2</v>
      </c>
      <c r="V52">
        <v>0.432</v>
      </c>
      <c r="W52" s="4" t="s">
        <v>130</v>
      </c>
      <c r="X52" s="4" t="s">
        <v>116</v>
      </c>
    </row>
    <row r="53" spans="1:24" x14ac:dyDescent="0.25">
      <c r="A53" s="4">
        <v>2104008330</v>
      </c>
      <c r="B53">
        <v>1.2579</v>
      </c>
      <c r="C53">
        <v>2.5000000000000001E-3</v>
      </c>
      <c r="D53">
        <v>1.6400000000000001E-2</v>
      </c>
      <c r="E53">
        <v>8.9499999999999996E-2</v>
      </c>
      <c r="F53">
        <v>8.9499999999999996E-2</v>
      </c>
      <c r="G53">
        <v>4.1000000000000003E-3</v>
      </c>
      <c r="H53">
        <v>0.15260000000000001</v>
      </c>
      <c r="I53">
        <v>5.2117000000000004</v>
      </c>
      <c r="J53">
        <v>1.0500000000000001E-2</v>
      </c>
      <c r="K53">
        <v>6.7799999999999999E-2</v>
      </c>
      <c r="L53">
        <v>0.37069999999999997</v>
      </c>
      <c r="M53">
        <v>0.37069999999999997</v>
      </c>
      <c r="N53">
        <v>1.6899999999999998E-2</v>
      </c>
      <c r="O53">
        <v>0.63229999999999997</v>
      </c>
      <c r="P53">
        <v>6.4695</v>
      </c>
      <c r="Q53">
        <v>1.3100000000000001E-2</v>
      </c>
      <c r="R53">
        <v>8.4199999999999997E-2</v>
      </c>
      <c r="S53">
        <v>0.46010000000000001</v>
      </c>
      <c r="T53">
        <v>0.46010000000000001</v>
      </c>
      <c r="U53">
        <v>2.0899999999999998E-2</v>
      </c>
      <c r="V53">
        <v>0.78490000000000004</v>
      </c>
      <c r="W53" s="4" t="s">
        <v>131</v>
      </c>
      <c r="X53" s="4" t="s">
        <v>116</v>
      </c>
    </row>
    <row r="54" spans="1:24" x14ac:dyDescent="0.25">
      <c r="A54" s="4">
        <v>2104008410</v>
      </c>
      <c r="B54">
        <v>3.5999999999999999E-3</v>
      </c>
      <c r="C54">
        <v>0</v>
      </c>
      <c r="D54">
        <v>1.5E-3</v>
      </c>
      <c r="E54">
        <v>1.1000000000000001E-3</v>
      </c>
      <c r="F54">
        <v>1.1000000000000001E-3</v>
      </c>
      <c r="G54">
        <v>1E-4</v>
      </c>
      <c r="H54">
        <v>8.0000000000000004E-4</v>
      </c>
      <c r="I54">
        <v>1.5100000000000001E-2</v>
      </c>
      <c r="J54">
        <v>1E-4</v>
      </c>
      <c r="K54">
        <v>6.1000000000000004E-3</v>
      </c>
      <c r="L54">
        <v>4.4999999999999997E-3</v>
      </c>
      <c r="M54">
        <v>4.4999999999999997E-3</v>
      </c>
      <c r="N54">
        <v>5.0000000000000001E-4</v>
      </c>
      <c r="O54">
        <v>3.5000000000000001E-3</v>
      </c>
      <c r="P54">
        <v>1.8800000000000001E-2</v>
      </c>
      <c r="Q54">
        <v>1E-4</v>
      </c>
      <c r="R54">
        <v>7.6E-3</v>
      </c>
      <c r="S54">
        <v>5.5999999999999999E-3</v>
      </c>
      <c r="T54">
        <v>5.5999999999999999E-3</v>
      </c>
      <c r="U54">
        <v>5.9999999999999995E-4</v>
      </c>
      <c r="V54">
        <v>4.3E-3</v>
      </c>
      <c r="W54" s="4" t="s">
        <v>132</v>
      </c>
      <c r="X54" s="4" t="s">
        <v>116</v>
      </c>
    </row>
    <row r="55" spans="1:24" x14ac:dyDescent="0.25">
      <c r="A55" s="4">
        <v>2104008420</v>
      </c>
      <c r="B55">
        <v>2.76E-2</v>
      </c>
      <c r="C55">
        <v>2.0000000000000001E-4</v>
      </c>
      <c r="D55">
        <v>1.11E-2</v>
      </c>
      <c r="E55">
        <v>8.2000000000000007E-3</v>
      </c>
      <c r="F55">
        <v>8.2000000000000007E-3</v>
      </c>
      <c r="G55">
        <v>8.9999999999999998E-4</v>
      </c>
      <c r="H55">
        <v>6.4000000000000003E-3</v>
      </c>
      <c r="I55">
        <v>0.1143</v>
      </c>
      <c r="J55">
        <v>8.0000000000000004E-4</v>
      </c>
      <c r="K55">
        <v>4.6100000000000002E-2</v>
      </c>
      <c r="L55">
        <v>3.4099999999999998E-2</v>
      </c>
      <c r="M55">
        <v>3.4099999999999998E-2</v>
      </c>
      <c r="N55">
        <v>3.7000000000000002E-3</v>
      </c>
      <c r="O55">
        <v>2.64E-2</v>
      </c>
      <c r="P55">
        <v>0.1419</v>
      </c>
      <c r="Q55">
        <v>1E-3</v>
      </c>
      <c r="R55">
        <v>5.7200000000000001E-2</v>
      </c>
      <c r="S55">
        <v>4.2299999999999997E-2</v>
      </c>
      <c r="T55">
        <v>4.2299999999999997E-2</v>
      </c>
      <c r="U55">
        <v>4.5999999999999999E-3</v>
      </c>
      <c r="V55">
        <v>3.2800000000000003E-2</v>
      </c>
      <c r="W55" s="4" t="s">
        <v>133</v>
      </c>
      <c r="X55" s="4" t="s">
        <v>116</v>
      </c>
    </row>
    <row r="56" spans="1:24" x14ac:dyDescent="0.25">
      <c r="A56" s="4">
        <v>2104008610</v>
      </c>
      <c r="B56">
        <v>4.3799999999999999E-2</v>
      </c>
      <c r="C56">
        <v>2.0000000000000001E-4</v>
      </c>
      <c r="D56">
        <v>1.1999999999999999E-3</v>
      </c>
      <c r="E56">
        <v>7.1000000000000004E-3</v>
      </c>
      <c r="F56">
        <v>7.1000000000000004E-3</v>
      </c>
      <c r="G56">
        <v>2.9999999999999997E-4</v>
      </c>
      <c r="H56">
        <v>3.2899999999999999E-2</v>
      </c>
      <c r="I56">
        <v>0.36270000000000002</v>
      </c>
      <c r="J56">
        <v>1.5E-3</v>
      </c>
      <c r="K56">
        <v>9.7000000000000003E-3</v>
      </c>
      <c r="L56">
        <v>5.91E-2</v>
      </c>
      <c r="M56">
        <v>5.91E-2</v>
      </c>
      <c r="N56">
        <v>2.3999999999999998E-3</v>
      </c>
      <c r="O56">
        <v>0.27189999999999998</v>
      </c>
      <c r="P56">
        <v>0.40649999999999997</v>
      </c>
      <c r="Q56">
        <v>1.6000000000000001E-3</v>
      </c>
      <c r="R56">
        <v>1.0800000000000001E-2</v>
      </c>
      <c r="S56">
        <v>6.6199999999999995E-2</v>
      </c>
      <c r="T56">
        <v>6.6199999999999995E-2</v>
      </c>
      <c r="U56">
        <v>2.7000000000000001E-3</v>
      </c>
      <c r="V56">
        <v>0.30470000000000003</v>
      </c>
      <c r="W56" s="4" t="s">
        <v>134</v>
      </c>
      <c r="X56" s="4" t="s">
        <v>116</v>
      </c>
    </row>
    <row r="58" spans="1:24" x14ac:dyDescent="0.25">
      <c r="B58" s="79">
        <f>SUMIFS(B39:B56,$X39:$X56,$X58)/B38</f>
        <v>0.9984149955206395</v>
      </c>
      <c r="C58" s="79">
        <f t="shared" ref="C58:V58" si="4">SUMIFS(C39:C56,$X39:$X56,$X58)/C38</f>
        <v>0.9666666666666669</v>
      </c>
      <c r="D58" s="79">
        <f t="shared" si="4"/>
        <v>0.31150550795593634</v>
      </c>
      <c r="E58" s="79">
        <f t="shared" si="4"/>
        <v>0.98189300411522629</v>
      </c>
      <c r="F58" s="79">
        <f t="shared" si="4"/>
        <v>0.98189300411522629</v>
      </c>
      <c r="G58" s="79">
        <f t="shared" si="4"/>
        <v>3.5465924895688457E-2</v>
      </c>
      <c r="H58" s="79">
        <f t="shared" si="4"/>
        <v>0.9873208379272328</v>
      </c>
      <c r="I58" s="79">
        <f t="shared" si="4"/>
        <v>0.99023654244589376</v>
      </c>
      <c r="J58" s="79">
        <f t="shared" si="4"/>
        <v>0.65074135090609564</v>
      </c>
      <c r="K58" s="79">
        <f t="shared" si="4"/>
        <v>0.12140659340659339</v>
      </c>
      <c r="L58" s="79">
        <f t="shared" si="4"/>
        <v>0.95685372103969457</v>
      </c>
      <c r="M58" s="79">
        <f t="shared" si="4"/>
        <v>0.95685372103969457</v>
      </c>
      <c r="N58" s="79">
        <f t="shared" si="4"/>
        <v>1.435964127990463E-2</v>
      </c>
      <c r="O58" s="79">
        <f t="shared" si="4"/>
        <v>0.98546330152501549</v>
      </c>
      <c r="P58" s="79">
        <f t="shared" si="4"/>
        <v>0.99134697497983015</v>
      </c>
      <c r="Q58" s="79">
        <f t="shared" si="4"/>
        <v>0.67306216423637766</v>
      </c>
      <c r="R58" s="79">
        <f t="shared" si="4"/>
        <v>0.13406332020997375</v>
      </c>
      <c r="S58" s="79">
        <f t="shared" si="4"/>
        <v>0.95958424203053205</v>
      </c>
      <c r="T58" s="79">
        <f t="shared" si="4"/>
        <v>0.95958424203053205</v>
      </c>
      <c r="U58" s="79">
        <f t="shared" si="4"/>
        <v>1.5885383938670356E-2</v>
      </c>
      <c r="V58" s="79">
        <f t="shared" si="4"/>
        <v>0.98554799661634895</v>
      </c>
      <c r="X58" s="4" t="s">
        <v>116</v>
      </c>
    </row>
    <row r="59" spans="1:24" x14ac:dyDescent="0.25">
      <c r="B59" s="79">
        <f>SUMIFS(B39:B56,$X39:$X56,$X59)/B38</f>
        <v>1.5160912411274203E-3</v>
      </c>
      <c r="C59" s="79">
        <f t="shared" ref="C59:V59" si="5">SUMIFS(C39:C56,$X39:$X56,$X59)/C38</f>
        <v>2.2222222222222227E-2</v>
      </c>
      <c r="D59" s="79">
        <f t="shared" si="5"/>
        <v>0.68910648714810285</v>
      </c>
      <c r="E59" s="79">
        <f t="shared" si="5"/>
        <v>1.8518518518518517E-2</v>
      </c>
      <c r="F59" s="79">
        <f t="shared" si="5"/>
        <v>1.8518518518518517E-2</v>
      </c>
      <c r="G59" s="79">
        <f t="shared" si="5"/>
        <v>0.96453407510431155</v>
      </c>
      <c r="H59" s="79">
        <f t="shared" si="5"/>
        <v>1.2862918044836457E-2</v>
      </c>
      <c r="I59" s="79">
        <f t="shared" si="5"/>
        <v>3.4603967702963477E-3</v>
      </c>
      <c r="J59" s="79">
        <f t="shared" si="5"/>
        <v>2.8830313014827021E-2</v>
      </c>
      <c r="K59" s="79">
        <f t="shared" si="5"/>
        <v>0.78232967032967027</v>
      </c>
      <c r="L59" s="79">
        <f t="shared" si="5"/>
        <v>3.3680246849014175E-2</v>
      </c>
      <c r="M59" s="79">
        <f t="shared" si="5"/>
        <v>3.3680246849014175E-2</v>
      </c>
      <c r="N59" s="79">
        <f t="shared" si="5"/>
        <v>0.97973394023137983</v>
      </c>
      <c r="O59" s="79">
        <f t="shared" si="5"/>
        <v>1.2829496375380616E-2</v>
      </c>
      <c r="P59" s="79">
        <f t="shared" si="5"/>
        <v>3.1894465177943754E-3</v>
      </c>
      <c r="Q59" s="79">
        <f t="shared" si="5"/>
        <v>2.8396009209516501E-2</v>
      </c>
      <c r="R59" s="79">
        <f t="shared" si="5"/>
        <v>0.77608267716535428</v>
      </c>
      <c r="S59" s="79">
        <f t="shared" si="5"/>
        <v>3.1970674214653605E-2</v>
      </c>
      <c r="T59" s="79">
        <f t="shared" si="5"/>
        <v>3.1970674214653605E-2</v>
      </c>
      <c r="U59" s="79">
        <f t="shared" si="5"/>
        <v>0.9786100289053663</v>
      </c>
      <c r="V59" s="79">
        <f t="shared" si="5"/>
        <v>1.283166335052959E-2</v>
      </c>
      <c r="X59" s="4" t="s">
        <v>115</v>
      </c>
    </row>
    <row r="60" spans="1:24" x14ac:dyDescent="0.25">
      <c r="B60" s="79">
        <f>SUMIFS(B39:B56,$X39:$X56,$X60)/B38</f>
        <v>1.0336985734959687E-4</v>
      </c>
      <c r="C60" s="79">
        <f t="shared" ref="C60:V60" si="6">SUMIFS(C39:C56,$X39:$X56,$X60)/C38</f>
        <v>0</v>
      </c>
      <c r="D60" s="79">
        <f t="shared" si="6"/>
        <v>0</v>
      </c>
      <c r="E60" s="79">
        <f t="shared" si="6"/>
        <v>0</v>
      </c>
      <c r="F60" s="79">
        <f t="shared" si="6"/>
        <v>0</v>
      </c>
      <c r="G60" s="79">
        <f t="shared" si="6"/>
        <v>0</v>
      </c>
      <c r="H60" s="79">
        <f t="shared" si="6"/>
        <v>0</v>
      </c>
      <c r="I60" s="79">
        <f t="shared" si="6"/>
        <v>1.7547983621881956E-3</v>
      </c>
      <c r="J60" s="79">
        <f t="shared" si="6"/>
        <v>2.4711696869851728E-3</v>
      </c>
      <c r="K60" s="79">
        <f t="shared" si="6"/>
        <v>5.2747252747252754E-4</v>
      </c>
      <c r="L60" s="79">
        <f t="shared" si="6"/>
        <v>1.0459703990377074E-3</v>
      </c>
      <c r="M60" s="79">
        <f t="shared" si="6"/>
        <v>1.0459703990377074E-3</v>
      </c>
      <c r="N60" s="79">
        <f t="shared" si="6"/>
        <v>6.2315424422227641E-4</v>
      </c>
      <c r="O60" s="79">
        <f t="shared" si="6"/>
        <v>3.0576754022754198E-4</v>
      </c>
      <c r="P60" s="79">
        <f t="shared" si="6"/>
        <v>1.5333877489396035E-3</v>
      </c>
      <c r="Q60" s="79">
        <f t="shared" si="6"/>
        <v>2.3023791250959321E-3</v>
      </c>
      <c r="R60" s="79">
        <f t="shared" si="6"/>
        <v>4.921259842519685E-4</v>
      </c>
      <c r="S60" s="79">
        <f t="shared" si="6"/>
        <v>9.2803118184771013E-4</v>
      </c>
      <c r="T60" s="79">
        <f t="shared" si="6"/>
        <v>9.2803118184771013E-4</v>
      </c>
      <c r="U60" s="79">
        <f t="shared" si="6"/>
        <v>5.7810732688199067E-4</v>
      </c>
      <c r="V60" s="79">
        <f t="shared" si="6"/>
        <v>2.8594235878617467E-4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4.5482624216217392E-3</v>
      </c>
      <c r="J61" s="79">
        <f t="shared" si="7"/>
        <v>0.31713344316309722</v>
      </c>
      <c r="K61" s="79">
        <f t="shared" si="7"/>
        <v>9.5736263736263746E-2</v>
      </c>
      <c r="L61" s="79">
        <f t="shared" si="7"/>
        <v>8.4723602322054285E-3</v>
      </c>
      <c r="M61" s="79">
        <f t="shared" si="7"/>
        <v>8.4723602322054285E-3</v>
      </c>
      <c r="N61" s="79">
        <f t="shared" si="7"/>
        <v>5.3374515700777584E-3</v>
      </c>
      <c r="O61" s="79">
        <f t="shared" si="7"/>
        <v>1.4141748735523819E-3</v>
      </c>
      <c r="P61" s="79">
        <f t="shared" si="7"/>
        <v>3.9254726372853843E-3</v>
      </c>
      <c r="Q61" s="79">
        <f t="shared" si="7"/>
        <v>0.29547198772064465</v>
      </c>
      <c r="R61" s="79">
        <f t="shared" si="7"/>
        <v>8.9320866141732291E-2</v>
      </c>
      <c r="S61" s="79">
        <f t="shared" si="7"/>
        <v>7.517052572966451E-3</v>
      </c>
      <c r="T61" s="79">
        <f t="shared" si="7"/>
        <v>7.517052572966451E-3</v>
      </c>
      <c r="U61" s="79">
        <f t="shared" si="7"/>
        <v>4.951614930250094E-3</v>
      </c>
      <c r="V61" s="79">
        <f t="shared" si="7"/>
        <v>1.322483409386058E-3</v>
      </c>
      <c r="X61" s="4" t="s">
        <v>113</v>
      </c>
    </row>
    <row r="64" spans="1:24" x14ac:dyDescent="0.25">
      <c r="A64" t="s">
        <v>202</v>
      </c>
    </row>
    <row r="65" spans="1:24" x14ac:dyDescent="0.25">
      <c r="A65" s="77" t="s">
        <v>203</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2.9022000000000001</v>
      </c>
      <c r="C69">
        <v>8.9999999999999993E-3</v>
      </c>
      <c r="D69">
        <v>0.16339999999999999</v>
      </c>
      <c r="E69">
        <v>0.24299999999999999</v>
      </c>
      <c r="F69">
        <v>0.24299999999999999</v>
      </c>
      <c r="G69">
        <v>0.28760000000000002</v>
      </c>
      <c r="H69">
        <v>0.54420000000000002</v>
      </c>
      <c r="I69">
        <v>18.2927</v>
      </c>
      <c r="J69" s="78">
        <v>0.12139999999999999</v>
      </c>
      <c r="K69" s="78">
        <v>2.2749999999999999</v>
      </c>
      <c r="L69">
        <v>1.9120999999999999</v>
      </c>
      <c r="M69" s="82">
        <v>1.9120999999999999</v>
      </c>
      <c r="N69" s="78">
        <v>3.6909000000000001</v>
      </c>
      <c r="O69" s="78">
        <v>7.8491</v>
      </c>
      <c r="P69">
        <v>21.194900000000001</v>
      </c>
      <c r="Q69" s="78">
        <v>0.1303</v>
      </c>
      <c r="R69" s="78">
        <v>2.4384000000000001</v>
      </c>
      <c r="S69">
        <v>2.1551</v>
      </c>
      <c r="T69" s="82">
        <v>2.1551</v>
      </c>
      <c r="U69" s="78">
        <v>3.9784999999999999</v>
      </c>
      <c r="V69" s="78">
        <v>8.3933</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6.7999999999999996E-3</v>
      </c>
      <c r="E72">
        <v>2.0000000000000001E-4</v>
      </c>
      <c r="F72">
        <v>2.0000000000000001E-4</v>
      </c>
      <c r="G72">
        <v>4.7999999999999996E-3</v>
      </c>
      <c r="H72">
        <v>2.9999999999999997E-4</v>
      </c>
      <c r="I72">
        <v>1.29E-2</v>
      </c>
      <c r="J72">
        <v>6.9999999999999999E-4</v>
      </c>
      <c r="K72">
        <v>0.51759999999999995</v>
      </c>
      <c r="L72">
        <v>1.3100000000000001E-2</v>
      </c>
      <c r="M72">
        <v>1.3100000000000001E-2</v>
      </c>
      <c r="N72">
        <v>0.3659</v>
      </c>
      <c r="O72">
        <v>2.0500000000000001E-2</v>
      </c>
      <c r="P72">
        <v>1.2999999999999999E-2</v>
      </c>
      <c r="Q72">
        <v>6.9999999999999999E-4</v>
      </c>
      <c r="R72">
        <v>0.52439999999999998</v>
      </c>
      <c r="S72">
        <v>1.3299999999999999E-2</v>
      </c>
      <c r="T72">
        <v>1.3299999999999999E-2</v>
      </c>
      <c r="U72">
        <v>0.37069999999999997</v>
      </c>
      <c r="V72">
        <v>2.0799999999999999E-2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2.7900000000000001E-2</v>
      </c>
      <c r="J75">
        <v>2.9999999999999997E-4</v>
      </c>
      <c r="K75">
        <v>1E-3</v>
      </c>
      <c r="L75">
        <v>1.6999999999999999E-3</v>
      </c>
      <c r="M75">
        <v>1.6999999999999999E-3</v>
      </c>
      <c r="N75">
        <v>2E-3</v>
      </c>
      <c r="O75">
        <v>2.0999999999999999E-3</v>
      </c>
      <c r="P75">
        <v>2.8000000000000001E-2</v>
      </c>
      <c r="Q75">
        <v>2.9999999999999997E-4</v>
      </c>
      <c r="R75">
        <v>1E-3</v>
      </c>
      <c r="S75">
        <v>1.6999999999999999E-3</v>
      </c>
      <c r="T75">
        <v>1.6999999999999999E-3</v>
      </c>
      <c r="U75">
        <v>2E-3</v>
      </c>
      <c r="V75">
        <v>2.0999999999999999E-3</v>
      </c>
      <c r="W75" s="4" t="s">
        <v>122</v>
      </c>
      <c r="X75" s="4" t="s">
        <v>114</v>
      </c>
    </row>
    <row r="76" spans="1:24" x14ac:dyDescent="0.25">
      <c r="A76" s="4">
        <v>2104004000</v>
      </c>
      <c r="B76">
        <v>4.1999999999999997E-3</v>
      </c>
      <c r="C76">
        <v>2.0000000000000001E-4</v>
      </c>
      <c r="D76">
        <v>0.10580000000000001</v>
      </c>
      <c r="E76">
        <v>4.3E-3</v>
      </c>
      <c r="F76">
        <v>4.3E-3</v>
      </c>
      <c r="G76">
        <v>0.27260000000000001</v>
      </c>
      <c r="H76">
        <v>6.7000000000000002E-3</v>
      </c>
      <c r="I76">
        <v>5.04E-2</v>
      </c>
      <c r="J76">
        <v>2.8E-3</v>
      </c>
      <c r="K76">
        <v>1.2622</v>
      </c>
      <c r="L76">
        <v>5.1299999999999998E-2</v>
      </c>
      <c r="M76">
        <v>5.1299999999999998E-2</v>
      </c>
      <c r="N76">
        <v>3.2502</v>
      </c>
      <c r="O76">
        <v>8.0199999999999994E-2</v>
      </c>
      <c r="P76">
        <v>5.4600000000000003E-2</v>
      </c>
      <c r="Q76">
        <v>3.0000000000000001E-3</v>
      </c>
      <c r="R76">
        <v>1.3680000000000001</v>
      </c>
      <c r="S76">
        <v>5.5599999999999997E-2</v>
      </c>
      <c r="T76">
        <v>5.5599999999999997E-2</v>
      </c>
      <c r="U76">
        <v>3.5226999999999999</v>
      </c>
      <c r="V76">
        <v>8.6900000000000005E-2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0.10630000000000001</v>
      </c>
      <c r="C78">
        <v>8.0000000000000004E-4</v>
      </c>
      <c r="D78">
        <v>1.1000000000000001E-3</v>
      </c>
      <c r="E78">
        <v>1.46E-2</v>
      </c>
      <c r="F78">
        <v>1.46E-2</v>
      </c>
      <c r="G78">
        <v>2.0000000000000001E-4</v>
      </c>
      <c r="H78">
        <v>9.64E-2</v>
      </c>
      <c r="I78">
        <v>6.3677000000000001</v>
      </c>
      <c r="J78">
        <v>4.5400000000000003E-2</v>
      </c>
      <c r="K78">
        <v>6.5500000000000003E-2</v>
      </c>
      <c r="L78">
        <v>0.87219999999999998</v>
      </c>
      <c r="M78">
        <v>0.87219999999999998</v>
      </c>
      <c r="N78">
        <v>1.01E-2</v>
      </c>
      <c r="O78">
        <v>5.7728000000000002</v>
      </c>
      <c r="P78">
        <v>6.4741</v>
      </c>
      <c r="Q78">
        <v>4.6100000000000002E-2</v>
      </c>
      <c r="R78">
        <v>6.6600000000000006E-2</v>
      </c>
      <c r="S78">
        <v>0.88680000000000003</v>
      </c>
      <c r="T78">
        <v>0.88680000000000003</v>
      </c>
      <c r="U78">
        <v>1.03E-2</v>
      </c>
      <c r="V78">
        <v>5.8692000000000002</v>
      </c>
      <c r="W78" s="4" t="s">
        <v>125</v>
      </c>
      <c r="X78" s="4" t="s">
        <v>116</v>
      </c>
    </row>
    <row r="79" spans="1:24" x14ac:dyDescent="0.25">
      <c r="A79" s="4">
        <v>2104008210</v>
      </c>
      <c r="B79">
        <v>6.4000000000000001E-2</v>
      </c>
      <c r="C79">
        <v>5.0000000000000001E-4</v>
      </c>
      <c r="D79">
        <v>8.0000000000000004E-4</v>
      </c>
      <c r="E79">
        <v>8.5000000000000006E-3</v>
      </c>
      <c r="F79">
        <v>8.5000000000000006E-3</v>
      </c>
      <c r="G79">
        <v>1E-4</v>
      </c>
      <c r="H79">
        <v>1.47E-2</v>
      </c>
      <c r="I79">
        <v>0.26529999999999998</v>
      </c>
      <c r="J79">
        <v>2E-3</v>
      </c>
      <c r="K79">
        <v>3.2000000000000002E-3</v>
      </c>
      <c r="L79">
        <v>3.5200000000000002E-2</v>
      </c>
      <c r="M79">
        <v>3.5200000000000002E-2</v>
      </c>
      <c r="N79">
        <v>5.0000000000000001E-4</v>
      </c>
      <c r="O79">
        <v>6.0900000000000003E-2</v>
      </c>
      <c r="P79">
        <v>0.32929999999999998</v>
      </c>
      <c r="Q79">
        <v>2.3999999999999998E-3</v>
      </c>
      <c r="R79">
        <v>4.0000000000000001E-3</v>
      </c>
      <c r="S79">
        <v>4.3700000000000003E-2</v>
      </c>
      <c r="T79">
        <v>4.3700000000000003E-2</v>
      </c>
      <c r="U79">
        <v>5.9999999999999995E-4</v>
      </c>
      <c r="V79">
        <v>7.5600000000000001E-2</v>
      </c>
      <c r="W79" s="4" t="s">
        <v>126</v>
      </c>
      <c r="X79" s="4" t="s">
        <v>116</v>
      </c>
    </row>
    <row r="80" spans="1:24" x14ac:dyDescent="0.25">
      <c r="A80" s="4">
        <v>2104008220</v>
      </c>
      <c r="B80">
        <v>0.1205</v>
      </c>
      <c r="C80">
        <v>8.0000000000000004E-4</v>
      </c>
      <c r="D80">
        <v>1.6999999999999999E-3</v>
      </c>
      <c r="E80">
        <v>1.03E-2</v>
      </c>
      <c r="F80">
        <v>1.03E-2</v>
      </c>
      <c r="G80">
        <v>2.9999999999999997E-4</v>
      </c>
      <c r="H80">
        <v>1.03E-2</v>
      </c>
      <c r="I80">
        <v>0.49909999999999999</v>
      </c>
      <c r="J80">
        <v>3.2000000000000002E-3</v>
      </c>
      <c r="K80">
        <v>7.1000000000000004E-3</v>
      </c>
      <c r="L80">
        <v>4.2500000000000003E-2</v>
      </c>
      <c r="M80">
        <v>4.2500000000000003E-2</v>
      </c>
      <c r="N80">
        <v>1.4E-3</v>
      </c>
      <c r="O80">
        <v>4.2500000000000003E-2</v>
      </c>
      <c r="P80">
        <v>0.61950000000000005</v>
      </c>
      <c r="Q80">
        <v>4.0000000000000001E-3</v>
      </c>
      <c r="R80">
        <v>8.8000000000000005E-3</v>
      </c>
      <c r="S80">
        <v>5.28E-2</v>
      </c>
      <c r="T80">
        <v>5.28E-2</v>
      </c>
      <c r="U80">
        <v>1.8E-3</v>
      </c>
      <c r="V80">
        <v>5.28E-2</v>
      </c>
      <c r="W80" s="4" t="s">
        <v>127</v>
      </c>
      <c r="X80" s="4" t="s">
        <v>116</v>
      </c>
    </row>
    <row r="81" spans="1:24" x14ac:dyDescent="0.25">
      <c r="A81" s="4">
        <v>2104008230</v>
      </c>
      <c r="B81">
        <v>0.1331</v>
      </c>
      <c r="C81">
        <v>1.1000000000000001E-3</v>
      </c>
      <c r="D81">
        <v>2.5000000000000001E-3</v>
      </c>
      <c r="E81">
        <v>1.6199999999999999E-2</v>
      </c>
      <c r="F81">
        <v>1.6199999999999999E-2</v>
      </c>
      <c r="G81">
        <v>5.0000000000000001E-4</v>
      </c>
      <c r="H81">
        <v>1.8700000000000001E-2</v>
      </c>
      <c r="I81">
        <v>0.55130000000000001</v>
      </c>
      <c r="J81">
        <v>4.5999999999999999E-3</v>
      </c>
      <c r="K81">
        <v>1.03E-2</v>
      </c>
      <c r="L81">
        <v>6.7000000000000004E-2</v>
      </c>
      <c r="M81">
        <v>6.7000000000000004E-2</v>
      </c>
      <c r="N81">
        <v>2.0999999999999999E-3</v>
      </c>
      <c r="O81">
        <v>7.7299999999999994E-2</v>
      </c>
      <c r="P81">
        <v>0.68430000000000002</v>
      </c>
      <c r="Q81">
        <v>5.7999999999999996E-3</v>
      </c>
      <c r="R81">
        <v>1.2800000000000001E-2</v>
      </c>
      <c r="S81">
        <v>8.3099999999999993E-2</v>
      </c>
      <c r="T81">
        <v>8.3099999999999993E-2</v>
      </c>
      <c r="U81">
        <v>2.5999999999999999E-3</v>
      </c>
      <c r="V81">
        <v>9.5899999999999999E-2</v>
      </c>
      <c r="W81" s="4" t="s">
        <v>128</v>
      </c>
      <c r="X81" s="4" t="s">
        <v>116</v>
      </c>
    </row>
    <row r="82" spans="1:24" x14ac:dyDescent="0.25">
      <c r="A82" s="4">
        <v>2104008310</v>
      </c>
      <c r="B82">
        <v>0.27510000000000001</v>
      </c>
      <c r="C82">
        <v>8.9999999999999998E-4</v>
      </c>
      <c r="D82">
        <v>3.3E-3</v>
      </c>
      <c r="E82">
        <v>2.76E-2</v>
      </c>
      <c r="F82">
        <v>2.76E-2</v>
      </c>
      <c r="G82">
        <v>8.9999999999999998E-4</v>
      </c>
      <c r="H82">
        <v>0.1203</v>
      </c>
      <c r="I82">
        <v>1.1395999999999999</v>
      </c>
      <c r="J82">
        <v>3.7000000000000002E-3</v>
      </c>
      <c r="K82">
        <v>1.37E-2</v>
      </c>
      <c r="L82">
        <v>0.1142</v>
      </c>
      <c r="M82">
        <v>0.1142</v>
      </c>
      <c r="N82">
        <v>3.8E-3</v>
      </c>
      <c r="O82">
        <v>0.4985</v>
      </c>
      <c r="P82">
        <v>1.4147000000000001</v>
      </c>
      <c r="Q82">
        <v>4.5999999999999999E-3</v>
      </c>
      <c r="R82">
        <v>1.7000000000000001E-2</v>
      </c>
      <c r="S82">
        <v>0.14180000000000001</v>
      </c>
      <c r="T82">
        <v>0.14180000000000001</v>
      </c>
      <c r="U82">
        <v>4.7000000000000002E-3</v>
      </c>
      <c r="V82">
        <v>0.61880000000000002</v>
      </c>
      <c r="W82" s="4" t="s">
        <v>129</v>
      </c>
      <c r="X82" s="4" t="s">
        <v>116</v>
      </c>
    </row>
    <row r="83" spans="1:24" x14ac:dyDescent="0.25">
      <c r="A83" s="4">
        <v>2104008320</v>
      </c>
      <c r="B83">
        <v>0.86539999999999995</v>
      </c>
      <c r="C83">
        <v>1.6999999999999999E-3</v>
      </c>
      <c r="D83">
        <v>1.1299999999999999E-2</v>
      </c>
      <c r="E83">
        <v>5.5500000000000001E-2</v>
      </c>
      <c r="F83">
        <v>5.5500000000000001E-2</v>
      </c>
      <c r="G83">
        <v>2.8E-3</v>
      </c>
      <c r="H83">
        <v>8.4000000000000005E-2</v>
      </c>
      <c r="I83">
        <v>3.5855000000000001</v>
      </c>
      <c r="J83">
        <v>7.1999999999999998E-3</v>
      </c>
      <c r="K83">
        <v>4.6699999999999998E-2</v>
      </c>
      <c r="L83">
        <v>0.2298</v>
      </c>
      <c r="M83">
        <v>0.2298</v>
      </c>
      <c r="N83">
        <v>1.1599999999999999E-2</v>
      </c>
      <c r="O83">
        <v>0.34799999999999998</v>
      </c>
      <c r="P83">
        <v>4.4508000000000001</v>
      </c>
      <c r="Q83">
        <v>8.9999999999999993E-3</v>
      </c>
      <c r="R83">
        <v>5.79E-2</v>
      </c>
      <c r="S83">
        <v>0.2853</v>
      </c>
      <c r="T83">
        <v>0.2853</v>
      </c>
      <c r="U83">
        <v>1.44E-2</v>
      </c>
      <c r="V83">
        <v>0.432</v>
      </c>
      <c r="W83" s="4" t="s">
        <v>130</v>
      </c>
      <c r="X83" s="4" t="s">
        <v>116</v>
      </c>
    </row>
    <row r="84" spans="1:24" x14ac:dyDescent="0.25">
      <c r="A84" s="4">
        <v>2104008330</v>
      </c>
      <c r="B84">
        <v>1.2579</v>
      </c>
      <c r="C84">
        <v>2.5000000000000001E-3</v>
      </c>
      <c r="D84">
        <v>1.6400000000000001E-2</v>
      </c>
      <c r="E84">
        <v>8.9499999999999996E-2</v>
      </c>
      <c r="F84">
        <v>8.9499999999999996E-2</v>
      </c>
      <c r="G84">
        <v>4.1000000000000003E-3</v>
      </c>
      <c r="H84">
        <v>0.15260000000000001</v>
      </c>
      <c r="I84">
        <v>5.2117000000000004</v>
      </c>
      <c r="J84">
        <v>1.0500000000000001E-2</v>
      </c>
      <c r="K84">
        <v>6.7799999999999999E-2</v>
      </c>
      <c r="L84">
        <v>0.37069999999999997</v>
      </c>
      <c r="M84">
        <v>0.37069999999999997</v>
      </c>
      <c r="N84">
        <v>1.6899999999999998E-2</v>
      </c>
      <c r="O84">
        <v>0.63229999999999997</v>
      </c>
      <c r="P84">
        <v>6.4695</v>
      </c>
      <c r="Q84">
        <v>1.3100000000000001E-2</v>
      </c>
      <c r="R84">
        <v>8.4199999999999997E-2</v>
      </c>
      <c r="S84">
        <v>0.46010000000000001</v>
      </c>
      <c r="T84">
        <v>0.46010000000000001</v>
      </c>
      <c r="U84">
        <v>2.0899999999999998E-2</v>
      </c>
      <c r="V84">
        <v>0.78490000000000004</v>
      </c>
      <c r="W84" s="4" t="s">
        <v>131</v>
      </c>
      <c r="X84" s="4" t="s">
        <v>116</v>
      </c>
    </row>
    <row r="85" spans="1:24" x14ac:dyDescent="0.25">
      <c r="A85" s="4">
        <v>2104008410</v>
      </c>
      <c r="B85">
        <v>3.5999999999999999E-3</v>
      </c>
      <c r="C85">
        <v>0</v>
      </c>
      <c r="D85">
        <v>1.5E-3</v>
      </c>
      <c r="E85">
        <v>1.1000000000000001E-3</v>
      </c>
      <c r="F85">
        <v>1.1000000000000001E-3</v>
      </c>
      <c r="G85">
        <v>1E-4</v>
      </c>
      <c r="H85">
        <v>8.0000000000000004E-4</v>
      </c>
      <c r="I85">
        <v>1.5100000000000001E-2</v>
      </c>
      <c r="J85">
        <v>1E-4</v>
      </c>
      <c r="K85">
        <v>6.1000000000000004E-3</v>
      </c>
      <c r="L85">
        <v>4.4999999999999997E-3</v>
      </c>
      <c r="M85">
        <v>4.4999999999999997E-3</v>
      </c>
      <c r="N85">
        <v>5.0000000000000001E-4</v>
      </c>
      <c r="O85">
        <v>3.5000000000000001E-3</v>
      </c>
      <c r="P85">
        <v>1.8800000000000001E-2</v>
      </c>
      <c r="Q85">
        <v>1E-4</v>
      </c>
      <c r="R85">
        <v>7.6E-3</v>
      </c>
      <c r="S85">
        <v>5.5999999999999999E-3</v>
      </c>
      <c r="T85">
        <v>5.5999999999999999E-3</v>
      </c>
      <c r="U85">
        <v>5.9999999999999995E-4</v>
      </c>
      <c r="V85">
        <v>4.3E-3</v>
      </c>
      <c r="W85" s="4" t="s">
        <v>132</v>
      </c>
      <c r="X85" s="4" t="s">
        <v>116</v>
      </c>
    </row>
    <row r="86" spans="1:24" x14ac:dyDescent="0.25">
      <c r="A86" s="4">
        <v>2104008420</v>
      </c>
      <c r="B86">
        <v>2.76E-2</v>
      </c>
      <c r="C86">
        <v>2.0000000000000001E-4</v>
      </c>
      <c r="D86">
        <v>1.11E-2</v>
      </c>
      <c r="E86">
        <v>8.2000000000000007E-3</v>
      </c>
      <c r="F86">
        <v>8.2000000000000007E-3</v>
      </c>
      <c r="G86">
        <v>8.9999999999999998E-4</v>
      </c>
      <c r="H86">
        <v>6.4000000000000003E-3</v>
      </c>
      <c r="I86">
        <v>0.1143</v>
      </c>
      <c r="J86">
        <v>8.0000000000000004E-4</v>
      </c>
      <c r="K86">
        <v>4.6100000000000002E-2</v>
      </c>
      <c r="L86">
        <v>3.4099999999999998E-2</v>
      </c>
      <c r="M86">
        <v>3.4099999999999998E-2</v>
      </c>
      <c r="N86">
        <v>3.7000000000000002E-3</v>
      </c>
      <c r="O86">
        <v>2.64E-2</v>
      </c>
      <c r="P86">
        <v>0.1419</v>
      </c>
      <c r="Q86">
        <v>1E-3</v>
      </c>
      <c r="R86">
        <v>5.7200000000000001E-2</v>
      </c>
      <c r="S86">
        <v>4.2299999999999997E-2</v>
      </c>
      <c r="T86">
        <v>4.2299999999999997E-2</v>
      </c>
      <c r="U86">
        <v>4.5999999999999999E-3</v>
      </c>
      <c r="V86">
        <v>3.2800000000000003E-2</v>
      </c>
      <c r="W86" s="4" t="s">
        <v>133</v>
      </c>
      <c r="X86" s="4" t="s">
        <v>116</v>
      </c>
    </row>
    <row r="87" spans="1:24" x14ac:dyDescent="0.25">
      <c r="A87" s="4">
        <v>2104008610</v>
      </c>
      <c r="B87">
        <v>4.3799999999999999E-2</v>
      </c>
      <c r="C87">
        <v>2.0000000000000001E-4</v>
      </c>
      <c r="D87">
        <v>1.1999999999999999E-3</v>
      </c>
      <c r="E87">
        <v>7.1000000000000004E-3</v>
      </c>
      <c r="F87">
        <v>7.1000000000000004E-3</v>
      </c>
      <c r="G87">
        <v>2.9999999999999997E-4</v>
      </c>
      <c r="H87">
        <v>3.2899999999999999E-2</v>
      </c>
      <c r="I87">
        <v>0.36270000000000002</v>
      </c>
      <c r="J87">
        <v>1.5E-3</v>
      </c>
      <c r="K87">
        <v>9.7000000000000003E-3</v>
      </c>
      <c r="L87">
        <v>5.91E-2</v>
      </c>
      <c r="M87">
        <v>5.91E-2</v>
      </c>
      <c r="N87">
        <v>2.3999999999999998E-3</v>
      </c>
      <c r="O87">
        <v>0.27189999999999998</v>
      </c>
      <c r="P87">
        <v>0.40649999999999997</v>
      </c>
      <c r="Q87">
        <v>1.6000000000000001E-3</v>
      </c>
      <c r="R87">
        <v>1.0800000000000001E-2</v>
      </c>
      <c r="S87">
        <v>6.6199999999999995E-2</v>
      </c>
      <c r="T87">
        <v>6.6199999999999995E-2</v>
      </c>
      <c r="U87">
        <v>2.7000000000000001E-3</v>
      </c>
      <c r="V87">
        <v>0.30470000000000003</v>
      </c>
      <c r="W87" s="4" t="s">
        <v>134</v>
      </c>
      <c r="X87" s="4" t="s">
        <v>116</v>
      </c>
    </row>
    <row r="89" spans="1:24" x14ac:dyDescent="0.25">
      <c r="B89" s="80">
        <f>SUMIFS(B70:B87,$X70:$X87,$X89)/B69</f>
        <v>0.9984149955206395</v>
      </c>
      <c r="C89" s="80">
        <f t="shared" ref="C89:V89" si="8">SUMIFS(C70:C87,$X70:$X87,$X89)/C69</f>
        <v>0.9666666666666669</v>
      </c>
      <c r="D89" s="80">
        <f t="shared" si="8"/>
        <v>0.31150550795593634</v>
      </c>
      <c r="E89" s="80">
        <f t="shared" si="8"/>
        <v>0.98189300411522629</v>
      </c>
      <c r="F89" s="80">
        <f t="shared" si="8"/>
        <v>0.98189300411522629</v>
      </c>
      <c r="G89" s="80">
        <f t="shared" si="8"/>
        <v>3.5465924895688457E-2</v>
      </c>
      <c r="H89" s="80">
        <f t="shared" si="8"/>
        <v>0.9873208379272328</v>
      </c>
      <c r="I89" s="80">
        <f t="shared" si="8"/>
        <v>0.99023654244589376</v>
      </c>
      <c r="J89" s="81">
        <f t="shared" si="8"/>
        <v>0.65074135090609564</v>
      </c>
      <c r="K89" s="81">
        <f t="shared" si="8"/>
        <v>0.12140659340659339</v>
      </c>
      <c r="L89" s="80">
        <f t="shared" si="8"/>
        <v>0.95685372103969457</v>
      </c>
      <c r="M89" s="81">
        <f t="shared" si="8"/>
        <v>0.95685372103969457</v>
      </c>
      <c r="N89" s="81">
        <f t="shared" si="8"/>
        <v>1.435964127990463E-2</v>
      </c>
      <c r="O89" s="81">
        <f t="shared" si="8"/>
        <v>0.98546330152501549</v>
      </c>
      <c r="P89" s="80">
        <f t="shared" si="8"/>
        <v>0.99134697497983015</v>
      </c>
      <c r="Q89" s="81">
        <f t="shared" si="8"/>
        <v>0.67306216423637766</v>
      </c>
      <c r="R89" s="81">
        <f t="shared" si="8"/>
        <v>0.13406332020997375</v>
      </c>
      <c r="S89" s="80">
        <f t="shared" si="8"/>
        <v>0.95958424203053205</v>
      </c>
      <c r="T89" s="81">
        <f t="shared" si="8"/>
        <v>0.95958424203053205</v>
      </c>
      <c r="U89" s="81">
        <f t="shared" si="8"/>
        <v>1.5885383938670356E-2</v>
      </c>
      <c r="V89" s="81">
        <f t="shared" si="8"/>
        <v>0.98554799661634895</v>
      </c>
      <c r="X89" s="4" t="s">
        <v>116</v>
      </c>
    </row>
    <row r="90" spans="1:24" x14ac:dyDescent="0.25">
      <c r="B90" s="80">
        <f>SUMIFS(B70:B87,$X70:$X87,$X90)/B69</f>
        <v>1.5160912411274203E-3</v>
      </c>
      <c r="C90" s="80">
        <f t="shared" ref="C90:V90" si="9">SUMIFS(C70:C87,$X70:$X87,$X90)/C69</f>
        <v>2.2222222222222227E-2</v>
      </c>
      <c r="D90" s="80">
        <f t="shared" si="9"/>
        <v>0.68910648714810285</v>
      </c>
      <c r="E90" s="80">
        <f t="shared" si="9"/>
        <v>1.8518518518518517E-2</v>
      </c>
      <c r="F90" s="80">
        <f t="shared" si="9"/>
        <v>1.8518518518518517E-2</v>
      </c>
      <c r="G90" s="80">
        <f t="shared" si="9"/>
        <v>0.96453407510431155</v>
      </c>
      <c r="H90" s="80">
        <f t="shared" si="9"/>
        <v>1.2862918044836457E-2</v>
      </c>
      <c r="I90" s="80">
        <f t="shared" si="9"/>
        <v>3.4603967702963477E-3</v>
      </c>
      <c r="J90" s="81">
        <f t="shared" si="9"/>
        <v>2.8830313014827021E-2</v>
      </c>
      <c r="K90" s="81">
        <f t="shared" si="9"/>
        <v>0.78232967032967027</v>
      </c>
      <c r="L90" s="80">
        <f t="shared" si="9"/>
        <v>3.3680246849014175E-2</v>
      </c>
      <c r="M90" s="81">
        <f t="shared" si="9"/>
        <v>3.3680246849014175E-2</v>
      </c>
      <c r="N90" s="81">
        <f t="shared" si="9"/>
        <v>0.97973394023137983</v>
      </c>
      <c r="O90" s="81">
        <f t="shared" si="9"/>
        <v>1.2829496375380616E-2</v>
      </c>
      <c r="P90" s="80">
        <f t="shared" si="9"/>
        <v>3.1894465177943754E-3</v>
      </c>
      <c r="Q90" s="81">
        <f t="shared" si="9"/>
        <v>2.8396009209516501E-2</v>
      </c>
      <c r="R90" s="81">
        <f t="shared" si="9"/>
        <v>0.77608267716535428</v>
      </c>
      <c r="S90" s="80">
        <f t="shared" si="9"/>
        <v>3.1970674214653605E-2</v>
      </c>
      <c r="T90" s="81">
        <f t="shared" si="9"/>
        <v>3.1970674214653605E-2</v>
      </c>
      <c r="U90" s="81">
        <f t="shared" si="9"/>
        <v>0.9786100289053663</v>
      </c>
      <c r="V90" s="81">
        <f t="shared" si="9"/>
        <v>1.283166335052959E-2</v>
      </c>
      <c r="X90" s="4" t="s">
        <v>115</v>
      </c>
    </row>
    <row r="91" spans="1:24" x14ac:dyDescent="0.25">
      <c r="B91" s="80">
        <f>SUMIFS(B70:B87,$X70:$X87,$X91)/B69</f>
        <v>1.0336985734959687E-4</v>
      </c>
      <c r="C91" s="80">
        <f t="shared" ref="C91:V91" si="10">SUMIFS(C70:C87,$X70:$X87,$X91)/C69</f>
        <v>0</v>
      </c>
      <c r="D91" s="80">
        <f t="shared" si="10"/>
        <v>0</v>
      </c>
      <c r="E91" s="80">
        <f t="shared" si="10"/>
        <v>0</v>
      </c>
      <c r="F91" s="80">
        <f t="shared" si="10"/>
        <v>0</v>
      </c>
      <c r="G91" s="80">
        <f t="shared" si="10"/>
        <v>0</v>
      </c>
      <c r="H91" s="80">
        <f t="shared" si="10"/>
        <v>0</v>
      </c>
      <c r="I91" s="80">
        <f t="shared" si="10"/>
        <v>1.7547983621881956E-3</v>
      </c>
      <c r="J91" s="81">
        <f t="shared" si="10"/>
        <v>2.4711696869851728E-3</v>
      </c>
      <c r="K91" s="81">
        <f t="shared" si="10"/>
        <v>5.2747252747252754E-4</v>
      </c>
      <c r="L91" s="80">
        <f t="shared" si="10"/>
        <v>1.0459703990377074E-3</v>
      </c>
      <c r="M91" s="81">
        <f t="shared" si="10"/>
        <v>1.0459703990377074E-3</v>
      </c>
      <c r="N91" s="81">
        <f t="shared" si="10"/>
        <v>6.2315424422227641E-4</v>
      </c>
      <c r="O91" s="81">
        <f t="shared" si="10"/>
        <v>3.0576754022754198E-4</v>
      </c>
      <c r="P91" s="80">
        <f t="shared" si="10"/>
        <v>1.5333877489396035E-3</v>
      </c>
      <c r="Q91" s="81">
        <f t="shared" si="10"/>
        <v>2.3023791250959321E-3</v>
      </c>
      <c r="R91" s="81">
        <f t="shared" si="10"/>
        <v>4.921259842519685E-4</v>
      </c>
      <c r="S91" s="80">
        <f t="shared" si="10"/>
        <v>9.2803118184771013E-4</v>
      </c>
      <c r="T91" s="81">
        <f t="shared" si="10"/>
        <v>9.2803118184771013E-4</v>
      </c>
      <c r="U91" s="81">
        <f t="shared" si="10"/>
        <v>5.7810732688199067E-4</v>
      </c>
      <c r="V91" s="81">
        <f t="shared" si="10"/>
        <v>2.8594235878617467E-4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4.5482624216217392E-3</v>
      </c>
      <c r="J92" s="81">
        <f t="shared" si="11"/>
        <v>0.31713344316309722</v>
      </c>
      <c r="K92" s="81">
        <f t="shared" si="11"/>
        <v>9.5736263736263746E-2</v>
      </c>
      <c r="L92" s="80">
        <f t="shared" si="11"/>
        <v>8.4723602322054285E-3</v>
      </c>
      <c r="M92" s="81">
        <f t="shared" si="11"/>
        <v>8.4723602322054285E-3</v>
      </c>
      <c r="N92" s="81">
        <f t="shared" si="11"/>
        <v>5.3374515700777584E-3</v>
      </c>
      <c r="O92" s="81">
        <f t="shared" si="11"/>
        <v>1.4141748735523819E-3</v>
      </c>
      <c r="P92" s="80">
        <f t="shared" si="11"/>
        <v>3.9254726372853843E-3</v>
      </c>
      <c r="Q92" s="81">
        <f t="shared" si="11"/>
        <v>0.29547198772064465</v>
      </c>
      <c r="R92" s="81">
        <f t="shared" si="11"/>
        <v>8.9320866141732291E-2</v>
      </c>
      <c r="S92" s="80">
        <f t="shared" si="11"/>
        <v>7.517052572966451E-3</v>
      </c>
      <c r="T92" s="81">
        <f t="shared" si="11"/>
        <v>7.517052572966451E-3</v>
      </c>
      <c r="U92" s="81">
        <f t="shared" si="11"/>
        <v>4.951614930250094E-3</v>
      </c>
      <c r="V92" s="81">
        <f t="shared" si="11"/>
        <v>1.322483409386058E-3</v>
      </c>
      <c r="X92" s="4" t="s">
        <v>113</v>
      </c>
    </row>
  </sheetData>
  <sheetProtection algorithmName="SHA-512" hashValue="Q5L63Tj7Ykxdlrp5+QcXMcVawTAXqq8fdR3mB47g15YDYWd6rreoyfX31b4a5Qhg6lMbEMlg+vhIZuqKmH+H1g==" saltValue="3u7MXWBrjcfoG2nSTFuilw=="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D961-D4E3-4491-96C8-D430745C1F0D}">
  <sheetPr codeName="Sheet26"/>
  <dimension ref="A2:X92"/>
  <sheetViews>
    <sheetView workbookViewId="0"/>
  </sheetViews>
  <sheetFormatPr defaultRowHeight="15" x14ac:dyDescent="0.25"/>
  <cols>
    <col min="1" max="1" width="13" customWidth="1"/>
    <col min="23" max="23" width="11.85546875" customWidth="1"/>
  </cols>
  <sheetData>
    <row r="2" spans="1:24" x14ac:dyDescent="0.25">
      <c r="A2" t="s">
        <v>311</v>
      </c>
    </row>
    <row r="3" spans="1:24" x14ac:dyDescent="0.25">
      <c r="A3" s="77" t="s">
        <v>204</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2.9870000000000001</v>
      </c>
      <c r="C7">
        <v>9.1999999999999998E-3</v>
      </c>
      <c r="D7">
        <v>0.16470000000000001</v>
      </c>
      <c r="E7">
        <v>0.2492</v>
      </c>
      <c r="F7">
        <v>0.2492</v>
      </c>
      <c r="G7">
        <v>0.2873</v>
      </c>
      <c r="H7">
        <v>0.55369999999999997</v>
      </c>
      <c r="I7">
        <v>18.829899999999999</v>
      </c>
      <c r="J7">
        <v>0.1236</v>
      </c>
      <c r="K7">
        <v>2.2924000000000002</v>
      </c>
      <c r="L7">
        <v>1.9637</v>
      </c>
      <c r="M7">
        <v>1.9637</v>
      </c>
      <c r="N7">
        <v>3.7073</v>
      </c>
      <c r="O7">
        <v>8.0547000000000004</v>
      </c>
      <c r="P7">
        <v>21.8169</v>
      </c>
      <c r="Q7">
        <v>0.1328</v>
      </c>
      <c r="R7">
        <v>2.4571000000000001</v>
      </c>
      <c r="S7">
        <v>2.2128999999999999</v>
      </c>
      <c r="T7">
        <v>2.2128999999999999</v>
      </c>
      <c r="U7">
        <v>3.9944999999999999</v>
      </c>
      <c r="V7">
        <v>8.6082999999999998</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6.8999999999999999E-3</v>
      </c>
      <c r="E10">
        <v>2.0000000000000001E-4</v>
      </c>
      <c r="F10">
        <v>2.0000000000000001E-4</v>
      </c>
      <c r="G10">
        <v>4.7999999999999996E-3</v>
      </c>
      <c r="H10">
        <v>2.9999999999999997E-4</v>
      </c>
      <c r="I10">
        <v>1.2999999999999999E-2</v>
      </c>
      <c r="J10">
        <v>6.9999999999999999E-4</v>
      </c>
      <c r="K10">
        <v>0.52229999999999999</v>
      </c>
      <c r="L10">
        <v>1.32E-2</v>
      </c>
      <c r="M10">
        <v>1.32E-2</v>
      </c>
      <c r="N10">
        <v>0.36919999999999997</v>
      </c>
      <c r="O10">
        <v>2.07E-2</v>
      </c>
      <c r="P10">
        <v>1.32E-2</v>
      </c>
      <c r="Q10">
        <v>6.9999999999999999E-4</v>
      </c>
      <c r="R10">
        <v>0.52910000000000001</v>
      </c>
      <c r="S10">
        <v>1.34E-2</v>
      </c>
      <c r="T10">
        <v>1.34E-2</v>
      </c>
      <c r="U10">
        <v>0.374</v>
      </c>
      <c r="V10">
        <v>2.1000000000000001E-2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2.81E-2</v>
      </c>
      <c r="J13">
        <v>2.9999999999999997E-4</v>
      </c>
      <c r="K13">
        <v>1E-3</v>
      </c>
      <c r="L13">
        <v>1.6999999999999999E-3</v>
      </c>
      <c r="M13">
        <v>1.6999999999999999E-3</v>
      </c>
      <c r="N13">
        <v>2E-3</v>
      </c>
      <c r="O13">
        <v>2.2000000000000001E-3</v>
      </c>
      <c r="P13">
        <v>2.8199999999999999E-2</v>
      </c>
      <c r="Q13">
        <v>2.9999999999999997E-4</v>
      </c>
      <c r="R13">
        <v>1E-3</v>
      </c>
      <c r="S13">
        <v>1.6999999999999999E-3</v>
      </c>
      <c r="T13">
        <v>1.6999999999999999E-3</v>
      </c>
      <c r="U13">
        <v>2E-3</v>
      </c>
      <c r="V13">
        <v>2.2000000000000001E-3</v>
      </c>
      <c r="W13" s="4" t="s">
        <v>122</v>
      </c>
      <c r="X13" s="4" t="s">
        <v>114</v>
      </c>
    </row>
    <row r="14" spans="1:24" x14ac:dyDescent="0.25">
      <c r="A14" s="4">
        <v>2104004000</v>
      </c>
      <c r="B14">
        <v>4.1999999999999997E-3</v>
      </c>
      <c r="C14">
        <v>2.0000000000000001E-4</v>
      </c>
      <c r="D14">
        <v>0.1055</v>
      </c>
      <c r="E14">
        <v>4.3E-3</v>
      </c>
      <c r="F14">
        <v>4.3E-3</v>
      </c>
      <c r="G14">
        <v>0.27189999999999998</v>
      </c>
      <c r="H14">
        <v>6.7000000000000002E-3</v>
      </c>
      <c r="I14">
        <v>5.0500000000000003E-2</v>
      </c>
      <c r="J14">
        <v>2.8E-3</v>
      </c>
      <c r="K14">
        <v>1.2666999999999999</v>
      </c>
      <c r="L14">
        <v>5.1499999999999997E-2</v>
      </c>
      <c r="M14">
        <v>5.1499999999999997E-2</v>
      </c>
      <c r="N14">
        <v>3.2616999999999998</v>
      </c>
      <c r="O14">
        <v>8.0500000000000002E-2</v>
      </c>
      <c r="P14">
        <v>5.4800000000000001E-2</v>
      </c>
      <c r="Q14">
        <v>3.0000000000000001E-3</v>
      </c>
      <c r="R14">
        <v>1.3722000000000001</v>
      </c>
      <c r="S14">
        <v>5.5800000000000002E-2</v>
      </c>
      <c r="T14">
        <v>5.5800000000000002E-2</v>
      </c>
      <c r="U14">
        <v>3.5335999999999999</v>
      </c>
      <c r="V14">
        <v>8.72E-2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0.1095</v>
      </c>
      <c r="C16">
        <v>8.0000000000000004E-4</v>
      </c>
      <c r="D16">
        <v>1.1000000000000001E-3</v>
      </c>
      <c r="E16">
        <v>1.4999999999999999E-2</v>
      </c>
      <c r="F16">
        <v>1.4999999999999999E-2</v>
      </c>
      <c r="G16">
        <v>2.0000000000000001E-4</v>
      </c>
      <c r="H16">
        <v>9.9299999999999999E-2</v>
      </c>
      <c r="I16">
        <v>6.5590999999999999</v>
      </c>
      <c r="J16">
        <v>4.6699999999999998E-2</v>
      </c>
      <c r="K16">
        <v>6.7500000000000004E-2</v>
      </c>
      <c r="L16">
        <v>0.89839999999999998</v>
      </c>
      <c r="M16">
        <v>0.89839999999999998</v>
      </c>
      <c r="N16">
        <v>1.04E-2</v>
      </c>
      <c r="O16">
        <v>5.9462999999999999</v>
      </c>
      <c r="P16">
        <v>6.6685999999999996</v>
      </c>
      <c r="Q16">
        <v>4.7500000000000001E-2</v>
      </c>
      <c r="R16">
        <v>6.8599999999999994E-2</v>
      </c>
      <c r="S16">
        <v>0.91339999999999999</v>
      </c>
      <c r="T16">
        <v>0.91339999999999999</v>
      </c>
      <c r="U16">
        <v>1.06E-2</v>
      </c>
      <c r="V16">
        <v>6.0456000000000003</v>
      </c>
      <c r="W16" s="4" t="s">
        <v>125</v>
      </c>
      <c r="X16" s="4" t="s">
        <v>116</v>
      </c>
    </row>
    <row r="17" spans="1:24" x14ac:dyDescent="0.25">
      <c r="A17" s="4">
        <v>2104008210</v>
      </c>
      <c r="B17">
        <v>6.1699999999999998E-2</v>
      </c>
      <c r="C17">
        <v>5.0000000000000001E-4</v>
      </c>
      <c r="D17">
        <v>6.9999999999999999E-4</v>
      </c>
      <c r="E17">
        <v>8.2000000000000007E-3</v>
      </c>
      <c r="F17">
        <v>8.2000000000000007E-3</v>
      </c>
      <c r="G17">
        <v>1E-4</v>
      </c>
      <c r="H17">
        <v>1.4200000000000001E-2</v>
      </c>
      <c r="I17">
        <v>0.25580000000000003</v>
      </c>
      <c r="J17">
        <v>1.9E-3</v>
      </c>
      <c r="K17">
        <v>3.0999999999999999E-3</v>
      </c>
      <c r="L17">
        <v>3.39E-2</v>
      </c>
      <c r="M17">
        <v>3.39E-2</v>
      </c>
      <c r="N17">
        <v>4.0000000000000002E-4</v>
      </c>
      <c r="O17">
        <v>5.8799999999999998E-2</v>
      </c>
      <c r="P17">
        <v>0.31759999999999999</v>
      </c>
      <c r="Q17">
        <v>2.3E-3</v>
      </c>
      <c r="R17">
        <v>3.8999999999999998E-3</v>
      </c>
      <c r="S17">
        <v>4.2099999999999999E-2</v>
      </c>
      <c r="T17">
        <v>4.2099999999999999E-2</v>
      </c>
      <c r="U17">
        <v>5.9999999999999995E-4</v>
      </c>
      <c r="V17">
        <v>7.2900000000000006E-2</v>
      </c>
      <c r="W17" s="4" t="s">
        <v>126</v>
      </c>
      <c r="X17" s="4" t="s">
        <v>116</v>
      </c>
    </row>
    <row r="18" spans="1:24" x14ac:dyDescent="0.25">
      <c r="A18" s="4">
        <v>2104008220</v>
      </c>
      <c r="B18">
        <v>0.12509999999999999</v>
      </c>
      <c r="C18">
        <v>8.0000000000000004E-4</v>
      </c>
      <c r="D18">
        <v>1.8E-3</v>
      </c>
      <c r="E18">
        <v>1.0699999999999999E-2</v>
      </c>
      <c r="F18">
        <v>1.0699999999999999E-2</v>
      </c>
      <c r="G18">
        <v>4.0000000000000002E-4</v>
      </c>
      <c r="H18">
        <v>1.0699999999999999E-2</v>
      </c>
      <c r="I18">
        <v>0.51839999999999997</v>
      </c>
      <c r="J18">
        <v>3.3E-3</v>
      </c>
      <c r="K18">
        <v>7.4000000000000003E-3</v>
      </c>
      <c r="L18">
        <v>4.4200000000000003E-2</v>
      </c>
      <c r="M18">
        <v>4.4200000000000003E-2</v>
      </c>
      <c r="N18">
        <v>1.5E-3</v>
      </c>
      <c r="O18">
        <v>4.4200000000000003E-2</v>
      </c>
      <c r="P18">
        <v>0.64339999999999997</v>
      </c>
      <c r="Q18">
        <v>4.1000000000000003E-3</v>
      </c>
      <c r="R18">
        <v>9.1000000000000004E-3</v>
      </c>
      <c r="S18">
        <v>5.4800000000000001E-2</v>
      </c>
      <c r="T18">
        <v>5.4800000000000001E-2</v>
      </c>
      <c r="U18">
        <v>1.8E-3</v>
      </c>
      <c r="V18">
        <v>5.4800000000000001E-2</v>
      </c>
      <c r="W18" s="4" t="s">
        <v>127</v>
      </c>
      <c r="X18" s="4" t="s">
        <v>116</v>
      </c>
    </row>
    <row r="19" spans="1:24" x14ac:dyDescent="0.25">
      <c r="A19" s="4">
        <v>2104008230</v>
      </c>
      <c r="B19">
        <v>0.13819999999999999</v>
      </c>
      <c r="C19">
        <v>1.1999999999999999E-3</v>
      </c>
      <c r="D19">
        <v>2.5999999999999999E-3</v>
      </c>
      <c r="E19">
        <v>1.6799999999999999E-2</v>
      </c>
      <c r="F19">
        <v>1.6799999999999999E-2</v>
      </c>
      <c r="G19">
        <v>5.0000000000000001E-4</v>
      </c>
      <c r="H19">
        <v>1.9400000000000001E-2</v>
      </c>
      <c r="I19">
        <v>0.5726</v>
      </c>
      <c r="J19">
        <v>4.7999999999999996E-3</v>
      </c>
      <c r="K19">
        <v>1.0699999999999999E-2</v>
      </c>
      <c r="L19">
        <v>6.9599999999999995E-2</v>
      </c>
      <c r="M19">
        <v>6.9599999999999995E-2</v>
      </c>
      <c r="N19">
        <v>2.0999999999999999E-3</v>
      </c>
      <c r="O19">
        <v>8.0299999999999996E-2</v>
      </c>
      <c r="P19">
        <v>0.71079999999999999</v>
      </c>
      <c r="Q19">
        <v>6.0000000000000001E-3</v>
      </c>
      <c r="R19">
        <v>1.3299999999999999E-2</v>
      </c>
      <c r="S19">
        <v>8.6400000000000005E-2</v>
      </c>
      <c r="T19">
        <v>8.6400000000000005E-2</v>
      </c>
      <c r="U19">
        <v>2.7000000000000001E-3</v>
      </c>
      <c r="V19">
        <v>9.9599999999999994E-2</v>
      </c>
      <c r="W19" s="4" t="s">
        <v>128</v>
      </c>
      <c r="X19" s="4" t="s">
        <v>116</v>
      </c>
    </row>
    <row r="20" spans="1:24" x14ac:dyDescent="0.25">
      <c r="A20" s="4">
        <v>2104008310</v>
      </c>
      <c r="B20">
        <v>0.26519999999999999</v>
      </c>
      <c r="C20">
        <v>8.9999999999999998E-4</v>
      </c>
      <c r="D20">
        <v>3.2000000000000002E-3</v>
      </c>
      <c r="E20">
        <v>2.6599999999999999E-2</v>
      </c>
      <c r="F20">
        <v>2.6599999999999999E-2</v>
      </c>
      <c r="G20">
        <v>8.9999999999999998E-4</v>
      </c>
      <c r="H20">
        <v>0.11600000000000001</v>
      </c>
      <c r="I20">
        <v>1.0989</v>
      </c>
      <c r="J20">
        <v>3.5999999999999999E-3</v>
      </c>
      <c r="K20">
        <v>1.32E-2</v>
      </c>
      <c r="L20">
        <v>0.1101</v>
      </c>
      <c r="M20">
        <v>0.1101</v>
      </c>
      <c r="N20">
        <v>3.5999999999999999E-3</v>
      </c>
      <c r="O20">
        <v>0.48070000000000002</v>
      </c>
      <c r="P20">
        <v>1.3641000000000001</v>
      </c>
      <c r="Q20">
        <v>4.4999999999999997E-3</v>
      </c>
      <c r="R20">
        <v>1.6299999999999999E-2</v>
      </c>
      <c r="S20">
        <v>0.13669999999999999</v>
      </c>
      <c r="T20">
        <v>0.13669999999999999</v>
      </c>
      <c r="U20">
        <v>4.4999999999999997E-3</v>
      </c>
      <c r="V20">
        <v>0.59670000000000001</v>
      </c>
      <c r="W20" s="4" t="s">
        <v>129</v>
      </c>
      <c r="X20" s="4" t="s">
        <v>116</v>
      </c>
    </row>
    <row r="21" spans="1:24" x14ac:dyDescent="0.25">
      <c r="A21" s="4">
        <v>2104008320</v>
      </c>
      <c r="B21">
        <v>0.89870000000000005</v>
      </c>
      <c r="C21">
        <v>1.8E-3</v>
      </c>
      <c r="D21">
        <v>1.17E-2</v>
      </c>
      <c r="E21">
        <v>5.7599999999999998E-2</v>
      </c>
      <c r="F21">
        <v>5.7599999999999998E-2</v>
      </c>
      <c r="G21">
        <v>2.8999999999999998E-3</v>
      </c>
      <c r="H21">
        <v>8.72E-2</v>
      </c>
      <c r="I21">
        <v>3.7241</v>
      </c>
      <c r="J21">
        <v>7.4999999999999997E-3</v>
      </c>
      <c r="K21">
        <v>4.8500000000000001E-2</v>
      </c>
      <c r="L21">
        <v>0.2387</v>
      </c>
      <c r="M21">
        <v>0.2387</v>
      </c>
      <c r="N21">
        <v>1.2E-2</v>
      </c>
      <c r="O21">
        <v>0.3614</v>
      </c>
      <c r="P21">
        <v>4.6227999999999998</v>
      </c>
      <c r="Q21">
        <v>9.2999999999999992E-3</v>
      </c>
      <c r="R21">
        <v>6.0199999999999997E-2</v>
      </c>
      <c r="S21">
        <v>0.29630000000000001</v>
      </c>
      <c r="T21">
        <v>0.29630000000000001</v>
      </c>
      <c r="U21">
        <v>1.4999999999999999E-2</v>
      </c>
      <c r="V21">
        <v>0.44869999999999999</v>
      </c>
      <c r="W21" s="4" t="s">
        <v>130</v>
      </c>
      <c r="X21" s="4" t="s">
        <v>116</v>
      </c>
    </row>
    <row r="22" spans="1:24" x14ac:dyDescent="0.25">
      <c r="A22" s="4">
        <v>2104008330</v>
      </c>
      <c r="B22">
        <v>1.3063</v>
      </c>
      <c r="C22">
        <v>2.5999999999999999E-3</v>
      </c>
      <c r="D22">
        <v>1.7000000000000001E-2</v>
      </c>
      <c r="E22">
        <v>9.2899999999999996E-2</v>
      </c>
      <c r="F22">
        <v>9.2899999999999996E-2</v>
      </c>
      <c r="G22">
        <v>4.1999999999999997E-3</v>
      </c>
      <c r="H22">
        <v>0.1585</v>
      </c>
      <c r="I22">
        <v>5.4131</v>
      </c>
      <c r="J22">
        <v>1.09E-2</v>
      </c>
      <c r="K22">
        <v>7.0400000000000004E-2</v>
      </c>
      <c r="L22">
        <v>0.38500000000000001</v>
      </c>
      <c r="M22">
        <v>0.38500000000000001</v>
      </c>
      <c r="N22">
        <v>1.7500000000000002E-2</v>
      </c>
      <c r="O22">
        <v>0.65669999999999995</v>
      </c>
      <c r="P22">
        <v>6.7195</v>
      </c>
      <c r="Q22">
        <v>1.3599999999999999E-2</v>
      </c>
      <c r="R22">
        <v>8.7400000000000005E-2</v>
      </c>
      <c r="S22">
        <v>0.47789999999999999</v>
      </c>
      <c r="T22">
        <v>0.47789999999999999</v>
      </c>
      <c r="U22">
        <v>2.1700000000000001E-2</v>
      </c>
      <c r="V22">
        <v>0.81520000000000004</v>
      </c>
      <c r="W22" s="4" t="s">
        <v>131</v>
      </c>
      <c r="X22" s="4" t="s">
        <v>116</v>
      </c>
    </row>
    <row r="23" spans="1:24" x14ac:dyDescent="0.25">
      <c r="A23" s="4">
        <v>2104008410</v>
      </c>
      <c r="B23">
        <v>3.5000000000000001E-3</v>
      </c>
      <c r="C23">
        <v>0</v>
      </c>
      <c r="D23">
        <v>1.4E-3</v>
      </c>
      <c r="E23">
        <v>1E-3</v>
      </c>
      <c r="F23">
        <v>1E-3</v>
      </c>
      <c r="G23">
        <v>1E-4</v>
      </c>
      <c r="H23">
        <v>8.0000000000000004E-4</v>
      </c>
      <c r="I23">
        <v>1.46E-2</v>
      </c>
      <c r="J23">
        <v>1E-4</v>
      </c>
      <c r="K23">
        <v>5.8999999999999999E-3</v>
      </c>
      <c r="L23">
        <v>4.3E-3</v>
      </c>
      <c r="M23">
        <v>4.3E-3</v>
      </c>
      <c r="N23">
        <v>5.0000000000000001E-4</v>
      </c>
      <c r="O23">
        <v>3.3999999999999998E-3</v>
      </c>
      <c r="P23">
        <v>1.8100000000000002E-2</v>
      </c>
      <c r="Q23">
        <v>1E-4</v>
      </c>
      <c r="R23">
        <v>7.3000000000000001E-3</v>
      </c>
      <c r="S23">
        <v>5.4000000000000003E-3</v>
      </c>
      <c r="T23">
        <v>5.4000000000000003E-3</v>
      </c>
      <c r="U23">
        <v>5.9999999999999995E-4</v>
      </c>
      <c r="V23">
        <v>4.1999999999999997E-3</v>
      </c>
      <c r="W23" s="4" t="s">
        <v>132</v>
      </c>
      <c r="X23" s="4" t="s">
        <v>116</v>
      </c>
    </row>
    <row r="24" spans="1:24" x14ac:dyDescent="0.25">
      <c r="A24" s="4">
        <v>2104008420</v>
      </c>
      <c r="B24">
        <v>2.87E-2</v>
      </c>
      <c r="C24">
        <v>2.0000000000000001E-4</v>
      </c>
      <c r="D24">
        <v>1.1599999999999999E-2</v>
      </c>
      <c r="E24">
        <v>8.5000000000000006E-3</v>
      </c>
      <c r="F24">
        <v>8.5000000000000006E-3</v>
      </c>
      <c r="G24">
        <v>8.9999999999999998E-4</v>
      </c>
      <c r="H24">
        <v>6.6E-3</v>
      </c>
      <c r="I24">
        <v>0.1187</v>
      </c>
      <c r="J24">
        <v>8.9999999999999998E-4</v>
      </c>
      <c r="K24">
        <v>4.7899999999999998E-2</v>
      </c>
      <c r="L24">
        <v>3.5400000000000001E-2</v>
      </c>
      <c r="M24">
        <v>3.5400000000000001E-2</v>
      </c>
      <c r="N24">
        <v>3.8E-3</v>
      </c>
      <c r="O24">
        <v>2.7400000000000001E-2</v>
      </c>
      <c r="P24">
        <v>0.1474</v>
      </c>
      <c r="Q24">
        <v>1.1000000000000001E-3</v>
      </c>
      <c r="R24">
        <v>5.9400000000000001E-2</v>
      </c>
      <c r="S24">
        <v>4.3900000000000002E-2</v>
      </c>
      <c r="T24">
        <v>4.3900000000000002E-2</v>
      </c>
      <c r="U24">
        <v>4.7000000000000002E-3</v>
      </c>
      <c r="V24">
        <v>3.4000000000000002E-2</v>
      </c>
      <c r="W24" s="4" t="s">
        <v>133</v>
      </c>
      <c r="X24" s="4" t="s">
        <v>116</v>
      </c>
    </row>
    <row r="25" spans="1:24" x14ac:dyDescent="0.25">
      <c r="A25" s="4">
        <v>2104008610</v>
      </c>
      <c r="B25">
        <v>4.5100000000000001E-2</v>
      </c>
      <c r="C25">
        <v>2.0000000000000001E-4</v>
      </c>
      <c r="D25">
        <v>1.1999999999999999E-3</v>
      </c>
      <c r="E25">
        <v>7.4000000000000003E-3</v>
      </c>
      <c r="F25">
        <v>7.4000000000000003E-3</v>
      </c>
      <c r="G25">
        <v>2.9999999999999997E-4</v>
      </c>
      <c r="H25">
        <v>3.3799999999999997E-2</v>
      </c>
      <c r="I25">
        <v>0.37359999999999999</v>
      </c>
      <c r="J25">
        <v>1.5E-3</v>
      </c>
      <c r="K25">
        <v>9.9000000000000008E-3</v>
      </c>
      <c r="L25">
        <v>6.0900000000000003E-2</v>
      </c>
      <c r="M25">
        <v>6.0900000000000003E-2</v>
      </c>
      <c r="N25">
        <v>2.5000000000000001E-3</v>
      </c>
      <c r="O25">
        <v>0.28000000000000003</v>
      </c>
      <c r="P25">
        <v>0.41870000000000002</v>
      </c>
      <c r="Q25">
        <v>1.6999999999999999E-3</v>
      </c>
      <c r="R25">
        <v>1.11E-2</v>
      </c>
      <c r="S25">
        <v>6.8199999999999997E-2</v>
      </c>
      <c r="T25">
        <v>6.8199999999999997E-2</v>
      </c>
      <c r="U25">
        <v>2.8E-3</v>
      </c>
      <c r="V25">
        <v>0.31390000000000001</v>
      </c>
      <c r="W25" s="4" t="s">
        <v>134</v>
      </c>
      <c r="X25" s="4" t="s">
        <v>116</v>
      </c>
    </row>
    <row r="26" spans="1:24" x14ac:dyDescent="0.25">
      <c r="X26" s="4"/>
    </row>
    <row r="27" spans="1:24" x14ac:dyDescent="0.25">
      <c r="B27" s="79">
        <f>SUMIFS(B8:B25,$X8:$X25,$X27)/B7</f>
        <v>0.99842651489789092</v>
      </c>
      <c r="C27" s="79">
        <f t="shared" ref="C27:V27" si="0">SUMIFS(C8:C25,$X8:$X25,$X27)/C7</f>
        <v>0.97826086956521752</v>
      </c>
      <c r="D27" s="79">
        <f t="shared" si="0"/>
        <v>0.31754705525197324</v>
      </c>
      <c r="E27" s="79">
        <f t="shared" si="0"/>
        <v>0.9819422150882825</v>
      </c>
      <c r="F27" s="79">
        <f t="shared" si="0"/>
        <v>0.9819422150882825</v>
      </c>
      <c r="G27" s="79">
        <f t="shared" si="0"/>
        <v>3.6547163243995817E-2</v>
      </c>
      <c r="H27" s="79">
        <f t="shared" si="0"/>
        <v>0.98735777496839483</v>
      </c>
      <c r="I27" s="79">
        <f t="shared" si="0"/>
        <v>0.99048322083494877</v>
      </c>
      <c r="J27" s="79">
        <f t="shared" si="0"/>
        <v>0.65695792880258896</v>
      </c>
      <c r="K27" s="79">
        <f t="shared" si="0"/>
        <v>0.12410574070842788</v>
      </c>
      <c r="L27" s="79">
        <f t="shared" si="0"/>
        <v>0.95778377552579319</v>
      </c>
      <c r="M27" s="79">
        <f t="shared" si="0"/>
        <v>0.95778377552579319</v>
      </c>
      <c r="N27" s="79">
        <f t="shared" si="0"/>
        <v>1.4646777978582796E-2</v>
      </c>
      <c r="O27" s="79">
        <f t="shared" si="0"/>
        <v>0.98577228202167666</v>
      </c>
      <c r="P27" s="79">
        <f t="shared" si="0"/>
        <v>0.99157533838446354</v>
      </c>
      <c r="Q27" s="79">
        <f t="shared" si="0"/>
        <v>0.67921686746987953</v>
      </c>
      <c r="R27" s="79">
        <f t="shared" si="0"/>
        <v>0.13699076146676975</v>
      </c>
      <c r="S27" s="79">
        <f t="shared" si="0"/>
        <v>0.96045912603371142</v>
      </c>
      <c r="T27" s="79">
        <f t="shared" si="0"/>
        <v>0.96045912603371142</v>
      </c>
      <c r="U27" s="79">
        <f t="shared" si="0"/>
        <v>1.6272374514958068E-2</v>
      </c>
      <c r="V27" s="79">
        <f t="shared" si="0"/>
        <v>0.98586248155849621</v>
      </c>
      <c r="X27" s="4" t="s">
        <v>116</v>
      </c>
    </row>
    <row r="28" spans="1:24" x14ac:dyDescent="0.25">
      <c r="B28" s="79">
        <f>SUMIFS(B8:B25,$X8:$X25,$X28)/B7</f>
        <v>1.4730498828255773E-3</v>
      </c>
      <c r="C28" s="79">
        <f t="shared" ref="C28:V28" si="1">SUMIFS(C8:C25,$X8:$X25,$X28)/C7</f>
        <v>2.1739130434782612E-2</v>
      </c>
      <c r="D28" s="79">
        <f t="shared" si="1"/>
        <v>0.68245294474802665</v>
      </c>
      <c r="E28" s="79">
        <f t="shared" si="1"/>
        <v>1.8057784911717494E-2</v>
      </c>
      <c r="F28" s="79">
        <f t="shared" si="1"/>
        <v>1.8057784911717494E-2</v>
      </c>
      <c r="G28" s="79">
        <f t="shared" si="1"/>
        <v>0.96310476853463278</v>
      </c>
      <c r="H28" s="79">
        <f t="shared" si="1"/>
        <v>1.2642225031605564E-2</v>
      </c>
      <c r="I28" s="79">
        <f t="shared" si="1"/>
        <v>3.372296188508702E-3</v>
      </c>
      <c r="J28" s="79">
        <f t="shared" si="1"/>
        <v>2.8317152103559871E-2</v>
      </c>
      <c r="K28" s="79">
        <f t="shared" si="1"/>
        <v>0.78040481591345301</v>
      </c>
      <c r="L28" s="79">
        <f t="shared" si="1"/>
        <v>3.2948006314610173E-2</v>
      </c>
      <c r="M28" s="79">
        <f t="shared" si="1"/>
        <v>3.2948006314610173E-2</v>
      </c>
      <c r="N28" s="79">
        <f t="shared" si="1"/>
        <v>0.97939201035794232</v>
      </c>
      <c r="O28" s="79">
        <f t="shared" si="1"/>
        <v>1.2564093014016659E-2</v>
      </c>
      <c r="P28" s="79">
        <f t="shared" si="1"/>
        <v>3.1168497815913352E-3</v>
      </c>
      <c r="Q28" s="79">
        <f t="shared" si="1"/>
        <v>2.786144578313253E-2</v>
      </c>
      <c r="R28" s="79">
        <f t="shared" si="1"/>
        <v>0.77379838020430591</v>
      </c>
      <c r="S28" s="79">
        <f t="shared" si="1"/>
        <v>3.1271182611053369E-2</v>
      </c>
      <c r="T28" s="79">
        <f t="shared" si="1"/>
        <v>3.1271182611053369E-2</v>
      </c>
      <c r="U28" s="79">
        <f t="shared" si="1"/>
        <v>0.97824508699461765</v>
      </c>
      <c r="V28" s="79">
        <f t="shared" si="1"/>
        <v>1.2569264547006959E-2</v>
      </c>
      <c r="X28" s="4" t="s">
        <v>115</v>
      </c>
    </row>
    <row r="29" spans="1:24" x14ac:dyDescent="0.25">
      <c r="B29" s="79">
        <f>SUMIFS(B8:B25,$X8:$X25,$X29)/B7</f>
        <v>1.004352192835621E-4</v>
      </c>
      <c r="C29" s="79">
        <f t="shared" ref="C29:V29" si="2">SUMIFS(C8:C25,$X8:$X25,$X29)/C7</f>
        <v>0</v>
      </c>
      <c r="D29" s="79">
        <f t="shared" si="2"/>
        <v>0</v>
      </c>
      <c r="E29" s="79">
        <f t="shared" si="2"/>
        <v>0</v>
      </c>
      <c r="F29" s="79">
        <f t="shared" si="2"/>
        <v>0</v>
      </c>
      <c r="G29" s="79">
        <f t="shared" si="2"/>
        <v>0</v>
      </c>
      <c r="H29" s="79">
        <f t="shared" si="2"/>
        <v>0</v>
      </c>
      <c r="I29" s="79">
        <f t="shared" si="2"/>
        <v>1.7153569588792296E-3</v>
      </c>
      <c r="J29" s="79">
        <f t="shared" si="2"/>
        <v>2.4271844660194173E-3</v>
      </c>
      <c r="K29" s="79">
        <f t="shared" si="2"/>
        <v>5.234688536032106E-4</v>
      </c>
      <c r="L29" s="79">
        <f t="shared" si="2"/>
        <v>1.0184855120435913E-3</v>
      </c>
      <c r="M29" s="79">
        <f t="shared" si="2"/>
        <v>1.0184855120435913E-3</v>
      </c>
      <c r="N29" s="79">
        <f t="shared" si="2"/>
        <v>6.2039759393628781E-4</v>
      </c>
      <c r="O29" s="79">
        <f t="shared" si="2"/>
        <v>3.1037779184823767E-4</v>
      </c>
      <c r="P29" s="79">
        <f t="shared" si="2"/>
        <v>1.4988380567358332E-3</v>
      </c>
      <c r="Q29" s="79">
        <f t="shared" si="2"/>
        <v>2.2590361445783132E-3</v>
      </c>
      <c r="R29" s="79">
        <f t="shared" si="2"/>
        <v>4.8838061128973179E-4</v>
      </c>
      <c r="S29" s="79">
        <f t="shared" si="2"/>
        <v>9.0379140494373906E-4</v>
      </c>
      <c r="T29" s="79">
        <f t="shared" si="2"/>
        <v>9.0379140494373906E-4</v>
      </c>
      <c r="U29" s="79">
        <f t="shared" si="2"/>
        <v>5.757917136062085E-4</v>
      </c>
      <c r="V29" s="79">
        <f t="shared" si="2"/>
        <v>2.9041738786984655E-4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4.4185046123452597E-3</v>
      </c>
      <c r="J30" s="79">
        <f t="shared" si="3"/>
        <v>0.31148867313915857</v>
      </c>
      <c r="K30" s="79">
        <f t="shared" si="3"/>
        <v>9.5009596928982726E-2</v>
      </c>
      <c r="L30" s="79">
        <f t="shared" si="3"/>
        <v>8.2497326475530885E-3</v>
      </c>
      <c r="M30" s="79">
        <f t="shared" si="3"/>
        <v>8.2497326475530885E-3</v>
      </c>
      <c r="N30" s="79">
        <f t="shared" si="3"/>
        <v>5.3138402611064648E-3</v>
      </c>
      <c r="O30" s="79">
        <f t="shared" si="3"/>
        <v>1.3780773958061753E-3</v>
      </c>
      <c r="P30" s="79">
        <f t="shared" si="3"/>
        <v>3.8135573798293979E-3</v>
      </c>
      <c r="Q30" s="79">
        <f t="shared" si="3"/>
        <v>0.28990963855421686</v>
      </c>
      <c r="R30" s="79">
        <f t="shared" si="3"/>
        <v>8.8641080949086334E-2</v>
      </c>
      <c r="S30" s="79">
        <f t="shared" si="3"/>
        <v>7.3207103800442862E-3</v>
      </c>
      <c r="T30" s="79">
        <f t="shared" si="3"/>
        <v>7.3207103800442862E-3</v>
      </c>
      <c r="U30" s="79">
        <f t="shared" si="3"/>
        <v>4.931781199148829E-3</v>
      </c>
      <c r="V30" s="79">
        <f t="shared" si="3"/>
        <v>1.2894532021421187E-3</v>
      </c>
      <c r="X30" s="4" t="s">
        <v>113</v>
      </c>
    </row>
    <row r="33" spans="1:24" x14ac:dyDescent="0.25">
      <c r="A33" t="s">
        <v>312</v>
      </c>
    </row>
    <row r="34" spans="1:24" x14ac:dyDescent="0.25">
      <c r="A34" s="77" t="s">
        <v>205</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2.9870000000000001</v>
      </c>
      <c r="C38">
        <v>9.1999999999999998E-3</v>
      </c>
      <c r="D38">
        <v>0.16470000000000001</v>
      </c>
      <c r="E38">
        <v>0.2492</v>
      </c>
      <c r="F38">
        <v>0.2492</v>
      </c>
      <c r="G38">
        <v>0.2873</v>
      </c>
      <c r="H38">
        <v>0.55369999999999997</v>
      </c>
      <c r="I38">
        <v>18.829899999999999</v>
      </c>
      <c r="J38">
        <v>0.1236</v>
      </c>
      <c r="K38">
        <v>2.2924000000000002</v>
      </c>
      <c r="L38">
        <v>1.3332999999999999</v>
      </c>
      <c r="M38">
        <v>1.3332999999999999</v>
      </c>
      <c r="N38">
        <v>1.9664999999999999</v>
      </c>
      <c r="O38">
        <v>8.0547000000000004</v>
      </c>
      <c r="P38">
        <v>21.8169</v>
      </c>
      <c r="Q38">
        <v>0.1328</v>
      </c>
      <c r="R38">
        <v>2.4571000000000001</v>
      </c>
      <c r="S38">
        <v>1.5825</v>
      </c>
      <c r="T38">
        <v>1.5825</v>
      </c>
      <c r="U38">
        <v>2.2538</v>
      </c>
      <c r="V38">
        <v>8.6082999999999998</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6.8999999999999999E-3</v>
      </c>
      <c r="E41">
        <v>2.0000000000000001E-4</v>
      </c>
      <c r="F41">
        <v>2.0000000000000001E-4</v>
      </c>
      <c r="G41">
        <v>4.7999999999999996E-3</v>
      </c>
      <c r="H41">
        <v>2.9999999999999997E-4</v>
      </c>
      <c r="I41">
        <v>1.2999999999999999E-2</v>
      </c>
      <c r="J41">
        <v>6.9999999999999999E-4</v>
      </c>
      <c r="K41">
        <v>0.52229999999999999</v>
      </c>
      <c r="L41">
        <v>7.3000000000000001E-3</v>
      </c>
      <c r="M41">
        <v>7.3000000000000001E-3</v>
      </c>
      <c r="N41">
        <v>0.37980000000000003</v>
      </c>
      <c r="O41">
        <v>2.07E-2</v>
      </c>
      <c r="P41">
        <v>1.32E-2</v>
      </c>
      <c r="Q41">
        <v>6.9999999999999999E-4</v>
      </c>
      <c r="R41">
        <v>0.52910000000000001</v>
      </c>
      <c r="S41">
        <v>7.4999999999999997E-3</v>
      </c>
      <c r="T41">
        <v>7.4999999999999997E-3</v>
      </c>
      <c r="U41">
        <v>0.38469999999999999</v>
      </c>
      <c r="V41">
        <v>2.1000000000000001E-2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2.81E-2</v>
      </c>
      <c r="J44">
        <v>2.9999999999999997E-4</v>
      </c>
      <c r="K44">
        <v>1E-3</v>
      </c>
      <c r="L44">
        <v>8.0000000000000004E-4</v>
      </c>
      <c r="M44">
        <v>8.0000000000000004E-4</v>
      </c>
      <c r="N44">
        <v>1E-3</v>
      </c>
      <c r="O44">
        <v>2.2000000000000001E-3</v>
      </c>
      <c r="P44">
        <v>2.8199999999999999E-2</v>
      </c>
      <c r="Q44">
        <v>2.9999999999999997E-4</v>
      </c>
      <c r="R44">
        <v>1E-3</v>
      </c>
      <c r="S44">
        <v>8.0000000000000004E-4</v>
      </c>
      <c r="T44">
        <v>8.0000000000000004E-4</v>
      </c>
      <c r="U44">
        <v>1.1000000000000001E-3</v>
      </c>
      <c r="V44">
        <v>2.2000000000000001E-3</v>
      </c>
      <c r="W44" s="4" t="s">
        <v>122</v>
      </c>
      <c r="X44" s="4" t="s">
        <v>114</v>
      </c>
    </row>
    <row r="45" spans="1:24" x14ac:dyDescent="0.25">
      <c r="A45" s="4">
        <v>2104004000</v>
      </c>
      <c r="B45">
        <v>4.1999999999999997E-3</v>
      </c>
      <c r="C45">
        <v>2.0000000000000001E-4</v>
      </c>
      <c r="D45">
        <v>0.1055</v>
      </c>
      <c r="E45">
        <v>4.3E-3</v>
      </c>
      <c r="F45">
        <v>4.3E-3</v>
      </c>
      <c r="G45">
        <v>0.27189999999999998</v>
      </c>
      <c r="H45">
        <v>6.7000000000000002E-3</v>
      </c>
      <c r="I45">
        <v>5.0500000000000003E-2</v>
      </c>
      <c r="J45">
        <v>2.8E-3</v>
      </c>
      <c r="K45">
        <v>1.2666999999999999</v>
      </c>
      <c r="L45">
        <v>2.5000000000000001E-2</v>
      </c>
      <c r="M45">
        <v>2.5000000000000001E-2</v>
      </c>
      <c r="N45">
        <v>1.5193000000000001</v>
      </c>
      <c r="O45">
        <v>8.0500000000000002E-2</v>
      </c>
      <c r="P45">
        <v>5.4800000000000001E-2</v>
      </c>
      <c r="Q45">
        <v>3.0000000000000001E-3</v>
      </c>
      <c r="R45">
        <v>1.3722000000000001</v>
      </c>
      <c r="S45">
        <v>2.93E-2</v>
      </c>
      <c r="T45">
        <v>2.93E-2</v>
      </c>
      <c r="U45">
        <v>1.7911999999999999</v>
      </c>
      <c r="V45">
        <v>8.72E-2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0.1095</v>
      </c>
      <c r="C47">
        <v>8.0000000000000004E-4</v>
      </c>
      <c r="D47">
        <v>1.1000000000000001E-3</v>
      </c>
      <c r="E47">
        <v>1.4999999999999999E-2</v>
      </c>
      <c r="F47">
        <v>1.4999999999999999E-2</v>
      </c>
      <c r="G47">
        <v>2.0000000000000001E-4</v>
      </c>
      <c r="H47">
        <v>9.9299999999999999E-2</v>
      </c>
      <c r="I47">
        <v>6.5590999999999999</v>
      </c>
      <c r="J47">
        <v>4.6699999999999998E-2</v>
      </c>
      <c r="K47">
        <v>6.7500000000000004E-2</v>
      </c>
      <c r="L47">
        <v>0.501</v>
      </c>
      <c r="M47">
        <v>0.501</v>
      </c>
      <c r="N47">
        <v>6.4000000000000003E-3</v>
      </c>
      <c r="O47">
        <v>5.9462999999999999</v>
      </c>
      <c r="P47">
        <v>6.6685999999999996</v>
      </c>
      <c r="Q47">
        <v>4.7500000000000001E-2</v>
      </c>
      <c r="R47">
        <v>6.8599999999999994E-2</v>
      </c>
      <c r="S47">
        <v>0.51600000000000001</v>
      </c>
      <c r="T47">
        <v>0.51600000000000001</v>
      </c>
      <c r="U47">
        <v>6.4999999999999997E-3</v>
      </c>
      <c r="V47">
        <v>6.0456000000000003</v>
      </c>
      <c r="W47" s="4" t="s">
        <v>125</v>
      </c>
      <c r="X47" s="4" t="s">
        <v>116</v>
      </c>
    </row>
    <row r="48" spans="1:24" x14ac:dyDescent="0.25">
      <c r="A48" s="4">
        <v>2104008210</v>
      </c>
      <c r="B48">
        <v>6.1699999999999998E-2</v>
      </c>
      <c r="C48">
        <v>5.0000000000000001E-4</v>
      </c>
      <c r="D48">
        <v>6.9999999999999999E-4</v>
      </c>
      <c r="E48">
        <v>8.2000000000000007E-3</v>
      </c>
      <c r="F48">
        <v>8.2000000000000007E-3</v>
      </c>
      <c r="G48">
        <v>1E-4</v>
      </c>
      <c r="H48">
        <v>1.4200000000000001E-2</v>
      </c>
      <c r="I48">
        <v>0.25580000000000003</v>
      </c>
      <c r="J48">
        <v>1.9E-3</v>
      </c>
      <c r="K48">
        <v>3.0999999999999999E-3</v>
      </c>
      <c r="L48">
        <v>1.8599999999999998E-2</v>
      </c>
      <c r="M48">
        <v>1.8599999999999998E-2</v>
      </c>
      <c r="N48">
        <v>2.9999999999999997E-4</v>
      </c>
      <c r="O48">
        <v>5.8799999999999998E-2</v>
      </c>
      <c r="P48">
        <v>0.31759999999999999</v>
      </c>
      <c r="Q48">
        <v>2.3E-3</v>
      </c>
      <c r="R48">
        <v>3.8999999999999998E-3</v>
      </c>
      <c r="S48">
        <v>2.6800000000000001E-2</v>
      </c>
      <c r="T48">
        <v>2.6800000000000001E-2</v>
      </c>
      <c r="U48">
        <v>4.0000000000000002E-4</v>
      </c>
      <c r="V48">
        <v>7.2900000000000006E-2</v>
      </c>
      <c r="W48" s="4" t="s">
        <v>126</v>
      </c>
      <c r="X48" s="4" t="s">
        <v>116</v>
      </c>
    </row>
    <row r="49" spans="1:24" x14ac:dyDescent="0.25">
      <c r="A49" s="4">
        <v>2104008220</v>
      </c>
      <c r="B49">
        <v>0.12509999999999999</v>
      </c>
      <c r="C49">
        <v>8.0000000000000004E-4</v>
      </c>
      <c r="D49">
        <v>1.8E-3</v>
      </c>
      <c r="E49">
        <v>1.0699999999999999E-2</v>
      </c>
      <c r="F49">
        <v>1.0699999999999999E-2</v>
      </c>
      <c r="G49">
        <v>4.0000000000000002E-4</v>
      </c>
      <c r="H49">
        <v>1.0699999999999999E-2</v>
      </c>
      <c r="I49">
        <v>0.51839999999999997</v>
      </c>
      <c r="J49">
        <v>3.3E-3</v>
      </c>
      <c r="K49">
        <v>7.4000000000000003E-3</v>
      </c>
      <c r="L49">
        <v>3.9E-2</v>
      </c>
      <c r="M49">
        <v>3.9E-2</v>
      </c>
      <c r="N49">
        <v>1.4E-3</v>
      </c>
      <c r="O49">
        <v>4.4200000000000003E-2</v>
      </c>
      <c r="P49">
        <v>0.64339999999999997</v>
      </c>
      <c r="Q49">
        <v>4.1000000000000003E-3</v>
      </c>
      <c r="R49">
        <v>9.1000000000000004E-3</v>
      </c>
      <c r="S49">
        <v>4.9599999999999998E-2</v>
      </c>
      <c r="T49">
        <v>4.9599999999999998E-2</v>
      </c>
      <c r="U49">
        <v>1.8E-3</v>
      </c>
      <c r="V49">
        <v>5.4800000000000001E-2</v>
      </c>
      <c r="W49" s="4" t="s">
        <v>127</v>
      </c>
      <c r="X49" s="4" t="s">
        <v>116</v>
      </c>
    </row>
    <row r="50" spans="1:24" x14ac:dyDescent="0.25">
      <c r="A50" s="4">
        <v>2104008230</v>
      </c>
      <c r="B50">
        <v>0.13819999999999999</v>
      </c>
      <c r="C50">
        <v>1.1999999999999999E-3</v>
      </c>
      <c r="D50">
        <v>2.5999999999999999E-3</v>
      </c>
      <c r="E50">
        <v>1.6799999999999999E-2</v>
      </c>
      <c r="F50">
        <v>1.6799999999999999E-2</v>
      </c>
      <c r="G50">
        <v>5.0000000000000001E-4</v>
      </c>
      <c r="H50">
        <v>1.9400000000000001E-2</v>
      </c>
      <c r="I50">
        <v>0.5726</v>
      </c>
      <c r="J50">
        <v>4.7999999999999996E-3</v>
      </c>
      <c r="K50">
        <v>1.0699999999999999E-2</v>
      </c>
      <c r="L50">
        <v>5.7700000000000001E-2</v>
      </c>
      <c r="M50">
        <v>5.7700000000000001E-2</v>
      </c>
      <c r="N50">
        <v>2E-3</v>
      </c>
      <c r="O50">
        <v>8.0299999999999996E-2</v>
      </c>
      <c r="P50">
        <v>0.71079999999999999</v>
      </c>
      <c r="Q50">
        <v>6.0000000000000001E-3</v>
      </c>
      <c r="R50">
        <v>1.3299999999999999E-2</v>
      </c>
      <c r="S50">
        <v>7.4499999999999997E-2</v>
      </c>
      <c r="T50">
        <v>7.4499999999999997E-2</v>
      </c>
      <c r="U50">
        <v>2.5000000000000001E-3</v>
      </c>
      <c r="V50">
        <v>9.9599999999999994E-2</v>
      </c>
      <c r="W50" s="4" t="s">
        <v>128</v>
      </c>
      <c r="X50" s="4" t="s">
        <v>116</v>
      </c>
    </row>
    <row r="51" spans="1:24" x14ac:dyDescent="0.25">
      <c r="A51" s="4">
        <v>2104008310</v>
      </c>
      <c r="B51">
        <v>0.26519999999999999</v>
      </c>
      <c r="C51">
        <v>8.9999999999999998E-4</v>
      </c>
      <c r="D51">
        <v>3.2000000000000002E-3</v>
      </c>
      <c r="E51">
        <v>2.6599999999999999E-2</v>
      </c>
      <c r="F51">
        <v>2.6599999999999999E-2</v>
      </c>
      <c r="G51">
        <v>8.9999999999999998E-4</v>
      </c>
      <c r="H51">
        <v>0.11600000000000001</v>
      </c>
      <c r="I51">
        <v>1.0989</v>
      </c>
      <c r="J51">
        <v>3.5999999999999999E-3</v>
      </c>
      <c r="K51">
        <v>1.32E-2</v>
      </c>
      <c r="L51">
        <v>6.08E-2</v>
      </c>
      <c r="M51">
        <v>6.08E-2</v>
      </c>
      <c r="N51">
        <v>2.2000000000000001E-3</v>
      </c>
      <c r="O51">
        <v>0.48070000000000002</v>
      </c>
      <c r="P51">
        <v>1.3641000000000001</v>
      </c>
      <c r="Q51">
        <v>4.4999999999999997E-3</v>
      </c>
      <c r="R51">
        <v>1.6299999999999999E-2</v>
      </c>
      <c r="S51">
        <v>8.7400000000000005E-2</v>
      </c>
      <c r="T51">
        <v>8.7400000000000005E-2</v>
      </c>
      <c r="U51">
        <v>3.0999999999999999E-3</v>
      </c>
      <c r="V51">
        <v>0.59670000000000001</v>
      </c>
      <c r="W51" s="4" t="s">
        <v>129</v>
      </c>
      <c r="X51" s="4" t="s">
        <v>116</v>
      </c>
    </row>
    <row r="52" spans="1:24" x14ac:dyDescent="0.25">
      <c r="A52" s="4">
        <v>2104008320</v>
      </c>
      <c r="B52">
        <v>0.89870000000000005</v>
      </c>
      <c r="C52">
        <v>1.8E-3</v>
      </c>
      <c r="D52">
        <v>1.17E-2</v>
      </c>
      <c r="E52">
        <v>5.7599999999999998E-2</v>
      </c>
      <c r="F52">
        <v>5.7599999999999998E-2</v>
      </c>
      <c r="G52">
        <v>2.8999999999999998E-3</v>
      </c>
      <c r="H52">
        <v>8.72E-2</v>
      </c>
      <c r="I52">
        <v>3.7241</v>
      </c>
      <c r="J52">
        <v>7.4999999999999997E-3</v>
      </c>
      <c r="K52">
        <v>4.8500000000000001E-2</v>
      </c>
      <c r="L52">
        <v>0.2087</v>
      </c>
      <c r="M52">
        <v>0.2087</v>
      </c>
      <c r="N52">
        <v>1.1599999999999999E-2</v>
      </c>
      <c r="O52">
        <v>0.3614</v>
      </c>
      <c r="P52">
        <v>4.6227999999999998</v>
      </c>
      <c r="Q52">
        <v>9.2999999999999992E-3</v>
      </c>
      <c r="R52">
        <v>6.0199999999999997E-2</v>
      </c>
      <c r="S52">
        <v>0.26629999999999998</v>
      </c>
      <c r="T52">
        <v>0.26629999999999998</v>
      </c>
      <c r="U52">
        <v>1.4500000000000001E-2</v>
      </c>
      <c r="V52">
        <v>0.44869999999999999</v>
      </c>
      <c r="W52" s="4" t="s">
        <v>130</v>
      </c>
      <c r="X52" s="4" t="s">
        <v>116</v>
      </c>
    </row>
    <row r="53" spans="1:24" x14ac:dyDescent="0.25">
      <c r="A53" s="4">
        <v>2104008330</v>
      </c>
      <c r="B53">
        <v>1.3063</v>
      </c>
      <c r="C53">
        <v>2.5999999999999999E-3</v>
      </c>
      <c r="D53">
        <v>1.7000000000000001E-2</v>
      </c>
      <c r="E53">
        <v>9.2899999999999996E-2</v>
      </c>
      <c r="F53">
        <v>9.2899999999999996E-2</v>
      </c>
      <c r="G53">
        <v>4.1999999999999997E-3</v>
      </c>
      <c r="H53">
        <v>0.1585</v>
      </c>
      <c r="I53">
        <v>5.4131</v>
      </c>
      <c r="J53">
        <v>1.09E-2</v>
      </c>
      <c r="K53">
        <v>7.0400000000000004E-2</v>
      </c>
      <c r="L53">
        <v>0.3301</v>
      </c>
      <c r="M53">
        <v>0.3301</v>
      </c>
      <c r="N53">
        <v>1.6899999999999998E-2</v>
      </c>
      <c r="O53">
        <v>0.65669999999999995</v>
      </c>
      <c r="P53">
        <v>6.7195</v>
      </c>
      <c r="Q53">
        <v>1.3599999999999999E-2</v>
      </c>
      <c r="R53">
        <v>8.7400000000000005E-2</v>
      </c>
      <c r="S53">
        <v>0.42299999999999999</v>
      </c>
      <c r="T53">
        <v>0.42299999999999999</v>
      </c>
      <c r="U53">
        <v>2.1100000000000001E-2</v>
      </c>
      <c r="V53">
        <v>0.81520000000000004</v>
      </c>
      <c r="W53" s="4" t="s">
        <v>131</v>
      </c>
      <c r="X53" s="4" t="s">
        <v>116</v>
      </c>
    </row>
    <row r="54" spans="1:24" x14ac:dyDescent="0.25">
      <c r="A54" s="4">
        <v>2104008410</v>
      </c>
      <c r="B54">
        <v>3.5000000000000001E-3</v>
      </c>
      <c r="C54">
        <v>0</v>
      </c>
      <c r="D54">
        <v>1.4E-3</v>
      </c>
      <c r="E54">
        <v>1E-3</v>
      </c>
      <c r="F54">
        <v>1E-3</v>
      </c>
      <c r="G54">
        <v>1E-4</v>
      </c>
      <c r="H54">
        <v>8.0000000000000004E-4</v>
      </c>
      <c r="I54">
        <v>1.46E-2</v>
      </c>
      <c r="J54">
        <v>1E-4</v>
      </c>
      <c r="K54">
        <v>5.8999999999999999E-3</v>
      </c>
      <c r="L54">
        <v>3.8E-3</v>
      </c>
      <c r="M54">
        <v>3.8E-3</v>
      </c>
      <c r="N54">
        <v>5.0000000000000001E-4</v>
      </c>
      <c r="O54">
        <v>3.3999999999999998E-3</v>
      </c>
      <c r="P54">
        <v>1.8100000000000002E-2</v>
      </c>
      <c r="Q54">
        <v>1E-4</v>
      </c>
      <c r="R54">
        <v>7.3000000000000001E-3</v>
      </c>
      <c r="S54">
        <v>4.8999999999999998E-3</v>
      </c>
      <c r="T54">
        <v>4.8999999999999998E-3</v>
      </c>
      <c r="U54">
        <v>5.9999999999999995E-4</v>
      </c>
      <c r="V54">
        <v>4.1999999999999997E-3</v>
      </c>
      <c r="W54" s="4" t="s">
        <v>132</v>
      </c>
      <c r="X54" s="4" t="s">
        <v>116</v>
      </c>
    </row>
    <row r="55" spans="1:24" x14ac:dyDescent="0.25">
      <c r="A55" s="4">
        <v>2104008420</v>
      </c>
      <c r="B55">
        <v>2.87E-2</v>
      </c>
      <c r="C55">
        <v>2.0000000000000001E-4</v>
      </c>
      <c r="D55">
        <v>1.1599999999999999E-2</v>
      </c>
      <c r="E55">
        <v>8.5000000000000006E-3</v>
      </c>
      <c r="F55">
        <v>8.5000000000000006E-3</v>
      </c>
      <c r="G55">
        <v>8.9999999999999998E-4</v>
      </c>
      <c r="H55">
        <v>6.6E-3</v>
      </c>
      <c r="I55">
        <v>0.1187</v>
      </c>
      <c r="J55">
        <v>8.9999999999999998E-4</v>
      </c>
      <c r="K55">
        <v>4.7899999999999998E-2</v>
      </c>
      <c r="L55">
        <v>0.03</v>
      </c>
      <c r="M55">
        <v>0.03</v>
      </c>
      <c r="N55">
        <v>3.5999999999999999E-3</v>
      </c>
      <c r="O55">
        <v>2.7400000000000001E-2</v>
      </c>
      <c r="P55">
        <v>0.1474</v>
      </c>
      <c r="Q55">
        <v>1.1000000000000001E-3</v>
      </c>
      <c r="R55">
        <v>5.9400000000000001E-2</v>
      </c>
      <c r="S55">
        <v>3.8600000000000002E-2</v>
      </c>
      <c r="T55">
        <v>3.8600000000000002E-2</v>
      </c>
      <c r="U55">
        <v>4.4999999999999997E-3</v>
      </c>
      <c r="V55">
        <v>3.4000000000000002E-2</v>
      </c>
      <c r="W55" s="4" t="s">
        <v>133</v>
      </c>
      <c r="X55" s="4" t="s">
        <v>116</v>
      </c>
    </row>
    <row r="56" spans="1:24" x14ac:dyDescent="0.25">
      <c r="A56" s="4">
        <v>2104008610</v>
      </c>
      <c r="B56">
        <v>4.5100000000000001E-2</v>
      </c>
      <c r="C56">
        <v>2.0000000000000001E-4</v>
      </c>
      <c r="D56">
        <v>1.1999999999999999E-3</v>
      </c>
      <c r="E56">
        <v>7.4000000000000003E-3</v>
      </c>
      <c r="F56">
        <v>7.4000000000000003E-3</v>
      </c>
      <c r="G56">
        <v>2.9999999999999997E-4</v>
      </c>
      <c r="H56">
        <v>3.3799999999999997E-2</v>
      </c>
      <c r="I56">
        <v>0.37359999999999999</v>
      </c>
      <c r="J56">
        <v>1.5E-3</v>
      </c>
      <c r="K56">
        <v>9.9000000000000008E-3</v>
      </c>
      <c r="L56">
        <v>3.3700000000000001E-2</v>
      </c>
      <c r="M56">
        <v>3.3700000000000001E-2</v>
      </c>
      <c r="N56">
        <v>1.6000000000000001E-3</v>
      </c>
      <c r="O56">
        <v>0.28000000000000003</v>
      </c>
      <c r="P56">
        <v>0.41870000000000002</v>
      </c>
      <c r="Q56">
        <v>1.6999999999999999E-3</v>
      </c>
      <c r="R56">
        <v>1.11E-2</v>
      </c>
      <c r="S56">
        <v>4.1000000000000002E-2</v>
      </c>
      <c r="T56">
        <v>4.1000000000000002E-2</v>
      </c>
      <c r="U56">
        <v>1.9E-3</v>
      </c>
      <c r="V56">
        <v>0.31390000000000001</v>
      </c>
      <c r="W56" s="4" t="s">
        <v>134</v>
      </c>
      <c r="X56" s="4" t="s">
        <v>116</v>
      </c>
    </row>
    <row r="58" spans="1:24" x14ac:dyDescent="0.25">
      <c r="B58" s="79">
        <f>SUMIFS(B39:B56,$X39:$X56,$X58)/B38</f>
        <v>0.99842651489789092</v>
      </c>
      <c r="C58" s="79">
        <f t="shared" ref="C58:V58" si="4">SUMIFS(C39:C56,$X39:$X56,$X58)/C38</f>
        <v>0.97826086956521752</v>
      </c>
      <c r="D58" s="79">
        <f t="shared" si="4"/>
        <v>0.31754705525197324</v>
      </c>
      <c r="E58" s="79">
        <f t="shared" si="4"/>
        <v>0.9819422150882825</v>
      </c>
      <c r="F58" s="79">
        <f t="shared" si="4"/>
        <v>0.9819422150882825</v>
      </c>
      <c r="G58" s="79">
        <f t="shared" si="4"/>
        <v>3.6547163243995817E-2</v>
      </c>
      <c r="H58" s="79">
        <f t="shared" si="4"/>
        <v>0.98735777496839483</v>
      </c>
      <c r="I58" s="79">
        <f t="shared" si="4"/>
        <v>0.99048322083494877</v>
      </c>
      <c r="J58" s="79">
        <f t="shared" si="4"/>
        <v>0.65695792880258896</v>
      </c>
      <c r="K58" s="79">
        <f t="shared" si="4"/>
        <v>0.12410574070842788</v>
      </c>
      <c r="L58" s="79">
        <f t="shared" si="4"/>
        <v>0.96279906997674947</v>
      </c>
      <c r="M58" s="79">
        <f t="shared" si="4"/>
        <v>0.96279906997674947</v>
      </c>
      <c r="N58" s="79">
        <f t="shared" si="4"/>
        <v>2.3646071700991606E-2</v>
      </c>
      <c r="O58" s="79">
        <f t="shared" si="4"/>
        <v>0.98577228202167666</v>
      </c>
      <c r="P58" s="79">
        <f t="shared" si="4"/>
        <v>0.99157533838446354</v>
      </c>
      <c r="Q58" s="79">
        <f t="shared" si="4"/>
        <v>0.67921686746987953</v>
      </c>
      <c r="R58" s="79">
        <f t="shared" si="4"/>
        <v>0.13699076146676975</v>
      </c>
      <c r="S58" s="79">
        <f t="shared" si="4"/>
        <v>0.96581358609794632</v>
      </c>
      <c r="T58" s="79">
        <f t="shared" si="4"/>
        <v>0.96581358609794632</v>
      </c>
      <c r="U58" s="79">
        <f t="shared" si="4"/>
        <v>2.5246250776466413E-2</v>
      </c>
      <c r="V58" s="79">
        <f t="shared" si="4"/>
        <v>0.98586248155849621</v>
      </c>
      <c r="X58" s="4" t="s">
        <v>116</v>
      </c>
    </row>
    <row r="59" spans="1:24" x14ac:dyDescent="0.25">
      <c r="B59" s="79">
        <f>SUMIFS(B39:B56,$X39:$X56,$X59)/B38</f>
        <v>1.4730498828255773E-3</v>
      </c>
      <c r="C59" s="79">
        <f t="shared" ref="C59:V59" si="5">SUMIFS(C39:C56,$X39:$X56,$X59)/C38</f>
        <v>2.1739130434782612E-2</v>
      </c>
      <c r="D59" s="79">
        <f t="shared" si="5"/>
        <v>0.68245294474802665</v>
      </c>
      <c r="E59" s="79">
        <f t="shared" si="5"/>
        <v>1.8057784911717494E-2</v>
      </c>
      <c r="F59" s="79">
        <f t="shared" si="5"/>
        <v>1.8057784911717494E-2</v>
      </c>
      <c r="G59" s="79">
        <f t="shared" si="5"/>
        <v>0.96310476853463278</v>
      </c>
      <c r="H59" s="79">
        <f t="shared" si="5"/>
        <v>1.2642225031605564E-2</v>
      </c>
      <c r="I59" s="79">
        <f t="shared" si="5"/>
        <v>3.372296188508702E-3</v>
      </c>
      <c r="J59" s="79">
        <f t="shared" si="5"/>
        <v>2.8317152103559871E-2</v>
      </c>
      <c r="K59" s="79">
        <f t="shared" si="5"/>
        <v>0.78040481591345301</v>
      </c>
      <c r="L59" s="79">
        <f t="shared" si="5"/>
        <v>2.4225605640141007E-2</v>
      </c>
      <c r="M59" s="79">
        <f t="shared" si="5"/>
        <v>2.4225605640141007E-2</v>
      </c>
      <c r="N59" s="79">
        <f t="shared" si="5"/>
        <v>0.96572590897533706</v>
      </c>
      <c r="O59" s="79">
        <f t="shared" si="5"/>
        <v>1.2564093014016659E-2</v>
      </c>
      <c r="P59" s="79">
        <f t="shared" si="5"/>
        <v>3.1168497815913352E-3</v>
      </c>
      <c r="Q59" s="79">
        <f t="shared" si="5"/>
        <v>2.786144578313253E-2</v>
      </c>
      <c r="R59" s="79">
        <f t="shared" si="5"/>
        <v>0.77379838020430591</v>
      </c>
      <c r="S59" s="79">
        <f t="shared" si="5"/>
        <v>2.3254344391785149E-2</v>
      </c>
      <c r="T59" s="79">
        <f t="shared" si="5"/>
        <v>2.3254344391785149E-2</v>
      </c>
      <c r="U59" s="79">
        <f t="shared" si="5"/>
        <v>0.96543615227615576</v>
      </c>
      <c r="V59" s="79">
        <f t="shared" si="5"/>
        <v>1.2569264547006959E-2</v>
      </c>
      <c r="X59" s="4" t="s">
        <v>115</v>
      </c>
    </row>
    <row r="60" spans="1:24" x14ac:dyDescent="0.25">
      <c r="B60" s="79">
        <f>SUMIFS(B39:B56,$X39:$X56,$X60)/B38</f>
        <v>1.004352192835621E-4</v>
      </c>
      <c r="C60" s="79">
        <f t="shared" ref="C60:V60" si="6">SUMIFS(C39:C56,$X39:$X56,$X60)/C38</f>
        <v>0</v>
      </c>
      <c r="D60" s="79">
        <f t="shared" si="6"/>
        <v>0</v>
      </c>
      <c r="E60" s="79">
        <f t="shared" si="6"/>
        <v>0</v>
      </c>
      <c r="F60" s="79">
        <f t="shared" si="6"/>
        <v>0</v>
      </c>
      <c r="G60" s="79">
        <f t="shared" si="6"/>
        <v>0</v>
      </c>
      <c r="H60" s="79">
        <f t="shared" si="6"/>
        <v>0</v>
      </c>
      <c r="I60" s="79">
        <f t="shared" si="6"/>
        <v>1.7153569588792296E-3</v>
      </c>
      <c r="J60" s="79">
        <f t="shared" si="6"/>
        <v>2.4271844660194173E-3</v>
      </c>
      <c r="K60" s="79">
        <f t="shared" si="6"/>
        <v>5.234688536032106E-4</v>
      </c>
      <c r="L60" s="79">
        <f t="shared" si="6"/>
        <v>8.2502062551563797E-4</v>
      </c>
      <c r="M60" s="79">
        <f t="shared" si="6"/>
        <v>8.2502062551563797E-4</v>
      </c>
      <c r="N60" s="79">
        <f t="shared" si="6"/>
        <v>6.6107297228578689E-4</v>
      </c>
      <c r="O60" s="79">
        <f t="shared" si="6"/>
        <v>3.1037779184823767E-4</v>
      </c>
      <c r="P60" s="79">
        <f t="shared" si="6"/>
        <v>1.4988380567358332E-3</v>
      </c>
      <c r="Q60" s="79">
        <f t="shared" si="6"/>
        <v>2.2590361445783132E-3</v>
      </c>
      <c r="R60" s="79">
        <f t="shared" si="6"/>
        <v>4.8838061128973179E-4</v>
      </c>
      <c r="S60" s="79">
        <f t="shared" si="6"/>
        <v>6.9510268562401271E-4</v>
      </c>
      <c r="T60" s="79">
        <f t="shared" si="6"/>
        <v>6.9510268562401271E-4</v>
      </c>
      <c r="U60" s="79">
        <f t="shared" si="6"/>
        <v>6.2117312982518417E-4</v>
      </c>
      <c r="V60" s="79">
        <f t="shared" si="6"/>
        <v>2.9041738786984655E-4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4.4185046123452597E-3</v>
      </c>
      <c r="J61" s="79">
        <f t="shared" si="7"/>
        <v>0.31148867313915857</v>
      </c>
      <c r="K61" s="79">
        <f t="shared" si="7"/>
        <v>9.5009596928982726E-2</v>
      </c>
      <c r="L61" s="79">
        <f t="shared" si="7"/>
        <v>1.215030375759394E-2</v>
      </c>
      <c r="M61" s="79">
        <f t="shared" si="7"/>
        <v>1.215030375759394E-2</v>
      </c>
      <c r="N61" s="79">
        <f t="shared" si="7"/>
        <v>1.0017798118484618E-2</v>
      </c>
      <c r="O61" s="79">
        <f t="shared" si="7"/>
        <v>1.3780773958061753E-3</v>
      </c>
      <c r="P61" s="79">
        <f t="shared" si="7"/>
        <v>3.8135573798293979E-3</v>
      </c>
      <c r="Q61" s="79">
        <f t="shared" si="7"/>
        <v>0.28990963855421686</v>
      </c>
      <c r="R61" s="79">
        <f t="shared" si="7"/>
        <v>8.8641080949086334E-2</v>
      </c>
      <c r="S61" s="79">
        <f t="shared" si="7"/>
        <v>1.0236966824644549E-2</v>
      </c>
      <c r="T61" s="79">
        <f t="shared" si="7"/>
        <v>1.0236966824644549E-2</v>
      </c>
      <c r="U61" s="79">
        <f t="shared" si="7"/>
        <v>8.7407933268258044E-3</v>
      </c>
      <c r="V61" s="79">
        <f t="shared" si="7"/>
        <v>1.2894532021421187E-3</v>
      </c>
      <c r="X61" s="4" t="s">
        <v>113</v>
      </c>
    </row>
    <row r="64" spans="1:24" x14ac:dyDescent="0.25">
      <c r="A64" t="s">
        <v>313</v>
      </c>
    </row>
    <row r="65" spans="1:24" x14ac:dyDescent="0.25">
      <c r="A65" s="77" t="s">
        <v>206</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2.9870000000000001</v>
      </c>
      <c r="C69">
        <v>9.1999999999999998E-3</v>
      </c>
      <c r="D69">
        <v>0.16470000000000001</v>
      </c>
      <c r="E69">
        <v>0.2492</v>
      </c>
      <c r="F69">
        <v>0.2492</v>
      </c>
      <c r="G69">
        <v>0.2873</v>
      </c>
      <c r="H69">
        <v>0.55369999999999997</v>
      </c>
      <c r="I69">
        <v>18.829899999999999</v>
      </c>
      <c r="J69" s="78">
        <v>0.1236</v>
      </c>
      <c r="K69" s="78">
        <v>2.2924000000000002</v>
      </c>
      <c r="L69">
        <v>1.3332999999999999</v>
      </c>
      <c r="M69" s="82">
        <v>1.3332999999999999</v>
      </c>
      <c r="N69" s="78">
        <v>1.9664999999999999</v>
      </c>
      <c r="O69" s="78">
        <v>8.0547000000000004</v>
      </c>
      <c r="P69">
        <v>21.8169</v>
      </c>
      <c r="Q69" s="78">
        <v>0.1328</v>
      </c>
      <c r="R69" s="78">
        <v>2.4571000000000001</v>
      </c>
      <c r="S69">
        <v>1.5825</v>
      </c>
      <c r="T69" s="82">
        <v>1.5825</v>
      </c>
      <c r="U69" s="78">
        <v>2.2538</v>
      </c>
      <c r="V69" s="78">
        <v>8.6082999999999998</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6.8999999999999999E-3</v>
      </c>
      <c r="E72">
        <v>2.0000000000000001E-4</v>
      </c>
      <c r="F72">
        <v>2.0000000000000001E-4</v>
      </c>
      <c r="G72">
        <v>4.7999999999999996E-3</v>
      </c>
      <c r="H72">
        <v>2.9999999999999997E-4</v>
      </c>
      <c r="I72">
        <v>1.2999999999999999E-2</v>
      </c>
      <c r="J72">
        <v>6.9999999999999999E-4</v>
      </c>
      <c r="K72">
        <v>0.52229999999999999</v>
      </c>
      <c r="L72">
        <v>7.3000000000000001E-3</v>
      </c>
      <c r="M72">
        <v>7.3000000000000001E-3</v>
      </c>
      <c r="N72">
        <v>0.37980000000000003</v>
      </c>
      <c r="O72">
        <v>2.07E-2</v>
      </c>
      <c r="P72">
        <v>1.32E-2</v>
      </c>
      <c r="Q72">
        <v>6.9999999999999999E-4</v>
      </c>
      <c r="R72">
        <v>0.52910000000000001</v>
      </c>
      <c r="S72">
        <v>7.4999999999999997E-3</v>
      </c>
      <c r="T72">
        <v>7.4999999999999997E-3</v>
      </c>
      <c r="U72">
        <v>0.38469999999999999</v>
      </c>
      <c r="V72">
        <v>2.1000000000000001E-2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2.81E-2</v>
      </c>
      <c r="J75">
        <v>2.9999999999999997E-4</v>
      </c>
      <c r="K75">
        <v>1E-3</v>
      </c>
      <c r="L75">
        <v>8.0000000000000004E-4</v>
      </c>
      <c r="M75">
        <v>8.0000000000000004E-4</v>
      </c>
      <c r="N75">
        <v>1E-3</v>
      </c>
      <c r="O75">
        <v>2.2000000000000001E-3</v>
      </c>
      <c r="P75">
        <v>2.8199999999999999E-2</v>
      </c>
      <c r="Q75">
        <v>2.9999999999999997E-4</v>
      </c>
      <c r="R75">
        <v>1E-3</v>
      </c>
      <c r="S75">
        <v>8.0000000000000004E-4</v>
      </c>
      <c r="T75">
        <v>8.0000000000000004E-4</v>
      </c>
      <c r="U75">
        <v>1.1000000000000001E-3</v>
      </c>
      <c r="V75">
        <v>2.2000000000000001E-3</v>
      </c>
      <c r="W75" s="4" t="s">
        <v>122</v>
      </c>
      <c r="X75" s="4" t="s">
        <v>114</v>
      </c>
    </row>
    <row r="76" spans="1:24" x14ac:dyDescent="0.25">
      <c r="A76" s="4">
        <v>2104004000</v>
      </c>
      <c r="B76">
        <v>4.1999999999999997E-3</v>
      </c>
      <c r="C76">
        <v>2.0000000000000001E-4</v>
      </c>
      <c r="D76">
        <v>0.1055</v>
      </c>
      <c r="E76">
        <v>4.3E-3</v>
      </c>
      <c r="F76">
        <v>4.3E-3</v>
      </c>
      <c r="G76">
        <v>0.27189999999999998</v>
      </c>
      <c r="H76">
        <v>6.7000000000000002E-3</v>
      </c>
      <c r="I76">
        <v>5.0500000000000003E-2</v>
      </c>
      <c r="J76">
        <v>2.8E-3</v>
      </c>
      <c r="K76">
        <v>1.2666999999999999</v>
      </c>
      <c r="L76">
        <v>2.5000000000000001E-2</v>
      </c>
      <c r="M76">
        <v>2.5000000000000001E-2</v>
      </c>
      <c r="N76">
        <v>1.5193000000000001</v>
      </c>
      <c r="O76">
        <v>8.0500000000000002E-2</v>
      </c>
      <c r="P76">
        <v>5.4800000000000001E-2</v>
      </c>
      <c r="Q76">
        <v>3.0000000000000001E-3</v>
      </c>
      <c r="R76">
        <v>1.3722000000000001</v>
      </c>
      <c r="S76">
        <v>2.93E-2</v>
      </c>
      <c r="T76">
        <v>2.93E-2</v>
      </c>
      <c r="U76">
        <v>1.7911999999999999</v>
      </c>
      <c r="V76">
        <v>8.72E-2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0.1095</v>
      </c>
      <c r="C78">
        <v>8.0000000000000004E-4</v>
      </c>
      <c r="D78">
        <v>1.1000000000000001E-3</v>
      </c>
      <c r="E78">
        <v>1.4999999999999999E-2</v>
      </c>
      <c r="F78">
        <v>1.4999999999999999E-2</v>
      </c>
      <c r="G78">
        <v>2.0000000000000001E-4</v>
      </c>
      <c r="H78">
        <v>9.9299999999999999E-2</v>
      </c>
      <c r="I78">
        <v>6.5590999999999999</v>
      </c>
      <c r="J78">
        <v>4.6699999999999998E-2</v>
      </c>
      <c r="K78">
        <v>6.7500000000000004E-2</v>
      </c>
      <c r="L78">
        <v>0.501</v>
      </c>
      <c r="M78">
        <v>0.501</v>
      </c>
      <c r="N78">
        <v>6.4000000000000003E-3</v>
      </c>
      <c r="O78">
        <v>5.9462999999999999</v>
      </c>
      <c r="P78">
        <v>6.6685999999999996</v>
      </c>
      <c r="Q78">
        <v>4.7500000000000001E-2</v>
      </c>
      <c r="R78">
        <v>6.8599999999999994E-2</v>
      </c>
      <c r="S78">
        <v>0.51600000000000001</v>
      </c>
      <c r="T78">
        <v>0.51600000000000001</v>
      </c>
      <c r="U78">
        <v>6.4999999999999997E-3</v>
      </c>
      <c r="V78">
        <v>6.0456000000000003</v>
      </c>
      <c r="W78" s="4" t="s">
        <v>125</v>
      </c>
      <c r="X78" s="4" t="s">
        <v>116</v>
      </c>
    </row>
    <row r="79" spans="1:24" x14ac:dyDescent="0.25">
      <c r="A79" s="4">
        <v>2104008210</v>
      </c>
      <c r="B79">
        <v>6.1699999999999998E-2</v>
      </c>
      <c r="C79">
        <v>5.0000000000000001E-4</v>
      </c>
      <c r="D79">
        <v>6.9999999999999999E-4</v>
      </c>
      <c r="E79">
        <v>8.2000000000000007E-3</v>
      </c>
      <c r="F79">
        <v>8.2000000000000007E-3</v>
      </c>
      <c r="G79">
        <v>1E-4</v>
      </c>
      <c r="H79">
        <v>1.4200000000000001E-2</v>
      </c>
      <c r="I79">
        <v>0.25580000000000003</v>
      </c>
      <c r="J79">
        <v>1.9E-3</v>
      </c>
      <c r="K79">
        <v>3.0999999999999999E-3</v>
      </c>
      <c r="L79">
        <v>1.8599999999999998E-2</v>
      </c>
      <c r="M79">
        <v>1.8599999999999998E-2</v>
      </c>
      <c r="N79">
        <v>2.9999999999999997E-4</v>
      </c>
      <c r="O79">
        <v>5.8799999999999998E-2</v>
      </c>
      <c r="P79">
        <v>0.31759999999999999</v>
      </c>
      <c r="Q79">
        <v>2.3E-3</v>
      </c>
      <c r="R79">
        <v>3.8999999999999998E-3</v>
      </c>
      <c r="S79">
        <v>2.6800000000000001E-2</v>
      </c>
      <c r="T79">
        <v>2.6800000000000001E-2</v>
      </c>
      <c r="U79">
        <v>4.0000000000000002E-4</v>
      </c>
      <c r="V79">
        <v>7.2900000000000006E-2</v>
      </c>
      <c r="W79" s="4" t="s">
        <v>126</v>
      </c>
      <c r="X79" s="4" t="s">
        <v>116</v>
      </c>
    </row>
    <row r="80" spans="1:24" x14ac:dyDescent="0.25">
      <c r="A80" s="4">
        <v>2104008220</v>
      </c>
      <c r="B80">
        <v>0.12509999999999999</v>
      </c>
      <c r="C80">
        <v>8.0000000000000004E-4</v>
      </c>
      <c r="D80">
        <v>1.8E-3</v>
      </c>
      <c r="E80">
        <v>1.0699999999999999E-2</v>
      </c>
      <c r="F80">
        <v>1.0699999999999999E-2</v>
      </c>
      <c r="G80">
        <v>4.0000000000000002E-4</v>
      </c>
      <c r="H80">
        <v>1.0699999999999999E-2</v>
      </c>
      <c r="I80">
        <v>0.51839999999999997</v>
      </c>
      <c r="J80">
        <v>3.3E-3</v>
      </c>
      <c r="K80">
        <v>7.4000000000000003E-3</v>
      </c>
      <c r="L80">
        <v>3.9E-2</v>
      </c>
      <c r="M80">
        <v>3.9E-2</v>
      </c>
      <c r="N80">
        <v>1.4E-3</v>
      </c>
      <c r="O80">
        <v>4.4200000000000003E-2</v>
      </c>
      <c r="P80">
        <v>0.64339999999999997</v>
      </c>
      <c r="Q80">
        <v>4.1000000000000003E-3</v>
      </c>
      <c r="R80">
        <v>9.1000000000000004E-3</v>
      </c>
      <c r="S80">
        <v>4.9599999999999998E-2</v>
      </c>
      <c r="T80">
        <v>4.9599999999999998E-2</v>
      </c>
      <c r="U80">
        <v>1.8E-3</v>
      </c>
      <c r="V80">
        <v>5.4800000000000001E-2</v>
      </c>
      <c r="W80" s="4" t="s">
        <v>127</v>
      </c>
      <c r="X80" s="4" t="s">
        <v>116</v>
      </c>
    </row>
    <row r="81" spans="1:24" x14ac:dyDescent="0.25">
      <c r="A81" s="4">
        <v>2104008230</v>
      </c>
      <c r="B81">
        <v>0.13819999999999999</v>
      </c>
      <c r="C81">
        <v>1.1999999999999999E-3</v>
      </c>
      <c r="D81">
        <v>2.5999999999999999E-3</v>
      </c>
      <c r="E81">
        <v>1.6799999999999999E-2</v>
      </c>
      <c r="F81">
        <v>1.6799999999999999E-2</v>
      </c>
      <c r="G81">
        <v>5.0000000000000001E-4</v>
      </c>
      <c r="H81">
        <v>1.9400000000000001E-2</v>
      </c>
      <c r="I81">
        <v>0.5726</v>
      </c>
      <c r="J81">
        <v>4.7999999999999996E-3</v>
      </c>
      <c r="K81">
        <v>1.0699999999999999E-2</v>
      </c>
      <c r="L81">
        <v>5.7700000000000001E-2</v>
      </c>
      <c r="M81">
        <v>5.7700000000000001E-2</v>
      </c>
      <c r="N81">
        <v>2E-3</v>
      </c>
      <c r="O81">
        <v>8.0299999999999996E-2</v>
      </c>
      <c r="P81">
        <v>0.71079999999999999</v>
      </c>
      <c r="Q81">
        <v>6.0000000000000001E-3</v>
      </c>
      <c r="R81">
        <v>1.3299999999999999E-2</v>
      </c>
      <c r="S81">
        <v>7.4499999999999997E-2</v>
      </c>
      <c r="T81">
        <v>7.4499999999999997E-2</v>
      </c>
      <c r="U81">
        <v>2.5000000000000001E-3</v>
      </c>
      <c r="V81">
        <v>9.9599999999999994E-2</v>
      </c>
      <c r="W81" s="4" t="s">
        <v>128</v>
      </c>
      <c r="X81" s="4" t="s">
        <v>116</v>
      </c>
    </row>
    <row r="82" spans="1:24" x14ac:dyDescent="0.25">
      <c r="A82" s="4">
        <v>2104008310</v>
      </c>
      <c r="B82">
        <v>0.26519999999999999</v>
      </c>
      <c r="C82">
        <v>8.9999999999999998E-4</v>
      </c>
      <c r="D82">
        <v>3.2000000000000002E-3</v>
      </c>
      <c r="E82">
        <v>2.6599999999999999E-2</v>
      </c>
      <c r="F82">
        <v>2.6599999999999999E-2</v>
      </c>
      <c r="G82">
        <v>8.9999999999999998E-4</v>
      </c>
      <c r="H82">
        <v>0.11600000000000001</v>
      </c>
      <c r="I82">
        <v>1.0989</v>
      </c>
      <c r="J82">
        <v>3.5999999999999999E-3</v>
      </c>
      <c r="K82">
        <v>1.32E-2</v>
      </c>
      <c r="L82">
        <v>6.08E-2</v>
      </c>
      <c r="M82">
        <v>6.08E-2</v>
      </c>
      <c r="N82">
        <v>2.2000000000000001E-3</v>
      </c>
      <c r="O82">
        <v>0.48070000000000002</v>
      </c>
      <c r="P82">
        <v>1.3641000000000001</v>
      </c>
      <c r="Q82">
        <v>4.4999999999999997E-3</v>
      </c>
      <c r="R82">
        <v>1.6299999999999999E-2</v>
      </c>
      <c r="S82">
        <v>8.7400000000000005E-2</v>
      </c>
      <c r="T82">
        <v>8.7400000000000005E-2</v>
      </c>
      <c r="U82">
        <v>3.0999999999999999E-3</v>
      </c>
      <c r="V82">
        <v>0.59670000000000001</v>
      </c>
      <c r="W82" s="4" t="s">
        <v>129</v>
      </c>
      <c r="X82" s="4" t="s">
        <v>116</v>
      </c>
    </row>
    <row r="83" spans="1:24" x14ac:dyDescent="0.25">
      <c r="A83" s="4">
        <v>2104008320</v>
      </c>
      <c r="B83">
        <v>0.89870000000000005</v>
      </c>
      <c r="C83">
        <v>1.8E-3</v>
      </c>
      <c r="D83">
        <v>1.17E-2</v>
      </c>
      <c r="E83">
        <v>5.7599999999999998E-2</v>
      </c>
      <c r="F83">
        <v>5.7599999999999998E-2</v>
      </c>
      <c r="G83">
        <v>2.8999999999999998E-3</v>
      </c>
      <c r="H83">
        <v>8.72E-2</v>
      </c>
      <c r="I83">
        <v>3.7241</v>
      </c>
      <c r="J83">
        <v>7.4999999999999997E-3</v>
      </c>
      <c r="K83">
        <v>4.8500000000000001E-2</v>
      </c>
      <c r="L83">
        <v>0.2087</v>
      </c>
      <c r="M83">
        <v>0.2087</v>
      </c>
      <c r="N83">
        <v>1.1599999999999999E-2</v>
      </c>
      <c r="O83">
        <v>0.3614</v>
      </c>
      <c r="P83">
        <v>4.6227999999999998</v>
      </c>
      <c r="Q83">
        <v>9.2999999999999992E-3</v>
      </c>
      <c r="R83">
        <v>6.0199999999999997E-2</v>
      </c>
      <c r="S83">
        <v>0.26629999999999998</v>
      </c>
      <c r="T83">
        <v>0.26629999999999998</v>
      </c>
      <c r="U83">
        <v>1.4500000000000001E-2</v>
      </c>
      <c r="V83">
        <v>0.44869999999999999</v>
      </c>
      <c r="W83" s="4" t="s">
        <v>130</v>
      </c>
      <c r="X83" s="4" t="s">
        <v>116</v>
      </c>
    </row>
    <row r="84" spans="1:24" x14ac:dyDescent="0.25">
      <c r="A84" s="4">
        <v>2104008330</v>
      </c>
      <c r="B84">
        <v>1.3063</v>
      </c>
      <c r="C84">
        <v>2.5999999999999999E-3</v>
      </c>
      <c r="D84">
        <v>1.7000000000000001E-2</v>
      </c>
      <c r="E84">
        <v>9.2899999999999996E-2</v>
      </c>
      <c r="F84">
        <v>9.2899999999999996E-2</v>
      </c>
      <c r="G84">
        <v>4.1999999999999997E-3</v>
      </c>
      <c r="H84">
        <v>0.1585</v>
      </c>
      <c r="I84">
        <v>5.4131</v>
      </c>
      <c r="J84">
        <v>1.09E-2</v>
      </c>
      <c r="K84">
        <v>7.0400000000000004E-2</v>
      </c>
      <c r="L84">
        <v>0.3301</v>
      </c>
      <c r="M84">
        <v>0.3301</v>
      </c>
      <c r="N84">
        <v>1.6899999999999998E-2</v>
      </c>
      <c r="O84">
        <v>0.65669999999999995</v>
      </c>
      <c r="P84">
        <v>6.7195</v>
      </c>
      <c r="Q84">
        <v>1.3599999999999999E-2</v>
      </c>
      <c r="R84">
        <v>8.7400000000000005E-2</v>
      </c>
      <c r="S84">
        <v>0.42299999999999999</v>
      </c>
      <c r="T84">
        <v>0.42299999999999999</v>
      </c>
      <c r="U84">
        <v>2.1100000000000001E-2</v>
      </c>
      <c r="V84">
        <v>0.81520000000000004</v>
      </c>
      <c r="W84" s="4" t="s">
        <v>131</v>
      </c>
      <c r="X84" s="4" t="s">
        <v>116</v>
      </c>
    </row>
    <row r="85" spans="1:24" x14ac:dyDescent="0.25">
      <c r="A85" s="4">
        <v>2104008410</v>
      </c>
      <c r="B85">
        <v>3.5000000000000001E-3</v>
      </c>
      <c r="C85">
        <v>0</v>
      </c>
      <c r="D85">
        <v>1.4E-3</v>
      </c>
      <c r="E85">
        <v>1E-3</v>
      </c>
      <c r="F85">
        <v>1E-3</v>
      </c>
      <c r="G85">
        <v>1E-4</v>
      </c>
      <c r="H85">
        <v>8.0000000000000004E-4</v>
      </c>
      <c r="I85">
        <v>1.46E-2</v>
      </c>
      <c r="J85">
        <v>1E-4</v>
      </c>
      <c r="K85">
        <v>5.8999999999999999E-3</v>
      </c>
      <c r="L85">
        <v>3.8E-3</v>
      </c>
      <c r="M85">
        <v>3.8E-3</v>
      </c>
      <c r="N85">
        <v>5.0000000000000001E-4</v>
      </c>
      <c r="O85">
        <v>3.3999999999999998E-3</v>
      </c>
      <c r="P85">
        <v>1.8100000000000002E-2</v>
      </c>
      <c r="Q85">
        <v>1E-4</v>
      </c>
      <c r="R85">
        <v>7.3000000000000001E-3</v>
      </c>
      <c r="S85">
        <v>4.8999999999999998E-3</v>
      </c>
      <c r="T85">
        <v>4.8999999999999998E-3</v>
      </c>
      <c r="U85">
        <v>5.9999999999999995E-4</v>
      </c>
      <c r="V85">
        <v>4.1999999999999997E-3</v>
      </c>
      <c r="W85" s="4" t="s">
        <v>132</v>
      </c>
      <c r="X85" s="4" t="s">
        <v>116</v>
      </c>
    </row>
    <row r="86" spans="1:24" x14ac:dyDescent="0.25">
      <c r="A86" s="4">
        <v>2104008420</v>
      </c>
      <c r="B86">
        <v>2.87E-2</v>
      </c>
      <c r="C86">
        <v>2.0000000000000001E-4</v>
      </c>
      <c r="D86">
        <v>1.1599999999999999E-2</v>
      </c>
      <c r="E86">
        <v>8.5000000000000006E-3</v>
      </c>
      <c r="F86">
        <v>8.5000000000000006E-3</v>
      </c>
      <c r="G86">
        <v>8.9999999999999998E-4</v>
      </c>
      <c r="H86">
        <v>6.6E-3</v>
      </c>
      <c r="I86">
        <v>0.1187</v>
      </c>
      <c r="J86">
        <v>8.9999999999999998E-4</v>
      </c>
      <c r="K86">
        <v>4.7899999999999998E-2</v>
      </c>
      <c r="L86">
        <v>0.03</v>
      </c>
      <c r="M86">
        <v>0.03</v>
      </c>
      <c r="N86">
        <v>3.5999999999999999E-3</v>
      </c>
      <c r="O86">
        <v>2.7400000000000001E-2</v>
      </c>
      <c r="P86">
        <v>0.1474</v>
      </c>
      <c r="Q86">
        <v>1.1000000000000001E-3</v>
      </c>
      <c r="R86">
        <v>5.9400000000000001E-2</v>
      </c>
      <c r="S86">
        <v>3.8600000000000002E-2</v>
      </c>
      <c r="T86">
        <v>3.8600000000000002E-2</v>
      </c>
      <c r="U86">
        <v>4.4999999999999997E-3</v>
      </c>
      <c r="V86">
        <v>3.4000000000000002E-2</v>
      </c>
      <c r="W86" s="4" t="s">
        <v>133</v>
      </c>
      <c r="X86" s="4" t="s">
        <v>116</v>
      </c>
    </row>
    <row r="87" spans="1:24" x14ac:dyDescent="0.25">
      <c r="A87" s="4">
        <v>2104008610</v>
      </c>
      <c r="B87">
        <v>4.5100000000000001E-2</v>
      </c>
      <c r="C87">
        <v>2.0000000000000001E-4</v>
      </c>
      <c r="D87">
        <v>1.1999999999999999E-3</v>
      </c>
      <c r="E87">
        <v>7.4000000000000003E-3</v>
      </c>
      <c r="F87">
        <v>7.4000000000000003E-3</v>
      </c>
      <c r="G87">
        <v>2.9999999999999997E-4</v>
      </c>
      <c r="H87">
        <v>3.3799999999999997E-2</v>
      </c>
      <c r="I87">
        <v>0.37359999999999999</v>
      </c>
      <c r="J87">
        <v>1.5E-3</v>
      </c>
      <c r="K87">
        <v>9.9000000000000008E-3</v>
      </c>
      <c r="L87">
        <v>3.3700000000000001E-2</v>
      </c>
      <c r="M87">
        <v>3.3700000000000001E-2</v>
      </c>
      <c r="N87">
        <v>1.6000000000000001E-3</v>
      </c>
      <c r="O87">
        <v>0.28000000000000003</v>
      </c>
      <c r="P87">
        <v>0.41870000000000002</v>
      </c>
      <c r="Q87">
        <v>1.6999999999999999E-3</v>
      </c>
      <c r="R87">
        <v>1.11E-2</v>
      </c>
      <c r="S87">
        <v>4.1000000000000002E-2</v>
      </c>
      <c r="T87">
        <v>4.1000000000000002E-2</v>
      </c>
      <c r="U87">
        <v>1.9E-3</v>
      </c>
      <c r="V87">
        <v>0.31390000000000001</v>
      </c>
      <c r="W87" s="4" t="s">
        <v>134</v>
      </c>
      <c r="X87" s="4" t="s">
        <v>116</v>
      </c>
    </row>
    <row r="89" spans="1:24" x14ac:dyDescent="0.25">
      <c r="B89" s="80">
        <f>SUMIFS(B70:B87,$X70:$X87,$X89)/B69</f>
        <v>0.99842651489789092</v>
      </c>
      <c r="C89" s="80">
        <f t="shared" ref="C89:V89" si="8">SUMIFS(C70:C87,$X70:$X87,$X89)/C69</f>
        <v>0.97826086956521752</v>
      </c>
      <c r="D89" s="80">
        <f t="shared" si="8"/>
        <v>0.31754705525197324</v>
      </c>
      <c r="E89" s="80">
        <f t="shared" si="8"/>
        <v>0.9819422150882825</v>
      </c>
      <c r="F89" s="80">
        <f t="shared" si="8"/>
        <v>0.9819422150882825</v>
      </c>
      <c r="G89" s="80">
        <f t="shared" si="8"/>
        <v>3.6547163243995817E-2</v>
      </c>
      <c r="H89" s="80">
        <f t="shared" si="8"/>
        <v>0.98735777496839483</v>
      </c>
      <c r="I89" s="80">
        <f t="shared" si="8"/>
        <v>0.99048322083494877</v>
      </c>
      <c r="J89" s="81">
        <f t="shared" si="8"/>
        <v>0.65695792880258896</v>
      </c>
      <c r="K89" s="81">
        <f t="shared" si="8"/>
        <v>0.12410574070842788</v>
      </c>
      <c r="L89" s="80">
        <f t="shared" si="8"/>
        <v>0.96279906997674947</v>
      </c>
      <c r="M89" s="81">
        <f t="shared" si="8"/>
        <v>0.96279906997674947</v>
      </c>
      <c r="N89" s="81">
        <f t="shared" si="8"/>
        <v>2.3646071700991606E-2</v>
      </c>
      <c r="O89" s="81">
        <f t="shared" si="8"/>
        <v>0.98577228202167666</v>
      </c>
      <c r="P89" s="80">
        <f t="shared" si="8"/>
        <v>0.99157533838446354</v>
      </c>
      <c r="Q89" s="81">
        <f t="shared" si="8"/>
        <v>0.67921686746987953</v>
      </c>
      <c r="R89" s="81">
        <f t="shared" si="8"/>
        <v>0.13699076146676975</v>
      </c>
      <c r="S89" s="80">
        <f t="shared" si="8"/>
        <v>0.96581358609794632</v>
      </c>
      <c r="T89" s="81">
        <f t="shared" si="8"/>
        <v>0.96581358609794632</v>
      </c>
      <c r="U89" s="81">
        <f t="shared" si="8"/>
        <v>2.5246250776466413E-2</v>
      </c>
      <c r="V89" s="81">
        <f t="shared" si="8"/>
        <v>0.98586248155849621</v>
      </c>
      <c r="X89" s="4" t="s">
        <v>116</v>
      </c>
    </row>
    <row r="90" spans="1:24" x14ac:dyDescent="0.25">
      <c r="B90" s="80">
        <f>SUMIFS(B70:B87,$X70:$X87,$X90)/B69</f>
        <v>1.4730498828255773E-3</v>
      </c>
      <c r="C90" s="80">
        <f t="shared" ref="C90:V90" si="9">SUMIFS(C70:C87,$X70:$X87,$X90)/C69</f>
        <v>2.1739130434782612E-2</v>
      </c>
      <c r="D90" s="80">
        <f t="shared" si="9"/>
        <v>0.68245294474802665</v>
      </c>
      <c r="E90" s="80">
        <f t="shared" si="9"/>
        <v>1.8057784911717494E-2</v>
      </c>
      <c r="F90" s="80">
        <f t="shared" si="9"/>
        <v>1.8057784911717494E-2</v>
      </c>
      <c r="G90" s="80">
        <f t="shared" si="9"/>
        <v>0.96310476853463278</v>
      </c>
      <c r="H90" s="80">
        <f t="shared" si="9"/>
        <v>1.2642225031605564E-2</v>
      </c>
      <c r="I90" s="80">
        <f t="shared" si="9"/>
        <v>3.372296188508702E-3</v>
      </c>
      <c r="J90" s="81">
        <f t="shared" si="9"/>
        <v>2.8317152103559871E-2</v>
      </c>
      <c r="K90" s="81">
        <f t="shared" si="9"/>
        <v>0.78040481591345301</v>
      </c>
      <c r="L90" s="80">
        <f t="shared" si="9"/>
        <v>2.4225605640141007E-2</v>
      </c>
      <c r="M90" s="81">
        <f t="shared" si="9"/>
        <v>2.4225605640141007E-2</v>
      </c>
      <c r="N90" s="81">
        <f t="shared" si="9"/>
        <v>0.96572590897533706</v>
      </c>
      <c r="O90" s="81">
        <f t="shared" si="9"/>
        <v>1.2564093014016659E-2</v>
      </c>
      <c r="P90" s="80">
        <f t="shared" si="9"/>
        <v>3.1168497815913352E-3</v>
      </c>
      <c r="Q90" s="81">
        <f t="shared" si="9"/>
        <v>2.786144578313253E-2</v>
      </c>
      <c r="R90" s="81">
        <f t="shared" si="9"/>
        <v>0.77379838020430591</v>
      </c>
      <c r="S90" s="80">
        <f t="shared" si="9"/>
        <v>2.3254344391785149E-2</v>
      </c>
      <c r="T90" s="81">
        <f t="shared" si="9"/>
        <v>2.3254344391785149E-2</v>
      </c>
      <c r="U90" s="81">
        <f t="shared" si="9"/>
        <v>0.96543615227615576</v>
      </c>
      <c r="V90" s="81">
        <f t="shared" si="9"/>
        <v>1.2569264547006959E-2</v>
      </c>
      <c r="X90" s="4" t="s">
        <v>115</v>
      </c>
    </row>
    <row r="91" spans="1:24" x14ac:dyDescent="0.25">
      <c r="B91" s="80">
        <f>SUMIFS(B70:B87,$X70:$X87,$X91)/B69</f>
        <v>1.004352192835621E-4</v>
      </c>
      <c r="C91" s="80">
        <f t="shared" ref="C91:V91" si="10">SUMIFS(C70:C87,$X70:$X87,$X91)/C69</f>
        <v>0</v>
      </c>
      <c r="D91" s="80">
        <f t="shared" si="10"/>
        <v>0</v>
      </c>
      <c r="E91" s="80">
        <f t="shared" si="10"/>
        <v>0</v>
      </c>
      <c r="F91" s="80">
        <f t="shared" si="10"/>
        <v>0</v>
      </c>
      <c r="G91" s="80">
        <f t="shared" si="10"/>
        <v>0</v>
      </c>
      <c r="H91" s="80">
        <f t="shared" si="10"/>
        <v>0</v>
      </c>
      <c r="I91" s="80">
        <f t="shared" si="10"/>
        <v>1.7153569588792296E-3</v>
      </c>
      <c r="J91" s="81">
        <f t="shared" si="10"/>
        <v>2.4271844660194173E-3</v>
      </c>
      <c r="K91" s="81">
        <f t="shared" si="10"/>
        <v>5.234688536032106E-4</v>
      </c>
      <c r="L91" s="80">
        <f t="shared" si="10"/>
        <v>8.2502062551563797E-4</v>
      </c>
      <c r="M91" s="81">
        <f t="shared" si="10"/>
        <v>8.2502062551563797E-4</v>
      </c>
      <c r="N91" s="81">
        <f t="shared" si="10"/>
        <v>6.6107297228578689E-4</v>
      </c>
      <c r="O91" s="81">
        <f t="shared" si="10"/>
        <v>3.1037779184823767E-4</v>
      </c>
      <c r="P91" s="80">
        <f t="shared" si="10"/>
        <v>1.4988380567358332E-3</v>
      </c>
      <c r="Q91" s="81">
        <f t="shared" si="10"/>
        <v>2.2590361445783132E-3</v>
      </c>
      <c r="R91" s="81">
        <f t="shared" si="10"/>
        <v>4.8838061128973179E-4</v>
      </c>
      <c r="S91" s="80">
        <f t="shared" si="10"/>
        <v>6.9510268562401271E-4</v>
      </c>
      <c r="T91" s="81">
        <f t="shared" si="10"/>
        <v>6.9510268562401271E-4</v>
      </c>
      <c r="U91" s="81">
        <f t="shared" si="10"/>
        <v>6.2117312982518417E-4</v>
      </c>
      <c r="V91" s="81">
        <f t="shared" si="10"/>
        <v>2.9041738786984655E-4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4.4185046123452597E-3</v>
      </c>
      <c r="J92" s="81">
        <f t="shared" si="11"/>
        <v>0.31148867313915857</v>
      </c>
      <c r="K92" s="81">
        <f t="shared" si="11"/>
        <v>9.5009596928982726E-2</v>
      </c>
      <c r="L92" s="80">
        <f t="shared" si="11"/>
        <v>1.215030375759394E-2</v>
      </c>
      <c r="M92" s="81">
        <f t="shared" si="11"/>
        <v>1.215030375759394E-2</v>
      </c>
      <c r="N92" s="81">
        <f t="shared" si="11"/>
        <v>1.0017798118484618E-2</v>
      </c>
      <c r="O92" s="81">
        <f t="shared" si="11"/>
        <v>1.3780773958061753E-3</v>
      </c>
      <c r="P92" s="80">
        <f t="shared" si="11"/>
        <v>3.8135573798293979E-3</v>
      </c>
      <c r="Q92" s="81">
        <f t="shared" si="11"/>
        <v>0.28990963855421686</v>
      </c>
      <c r="R92" s="81">
        <f t="shared" si="11"/>
        <v>8.8641080949086334E-2</v>
      </c>
      <c r="S92" s="80">
        <f t="shared" si="11"/>
        <v>1.0236966824644549E-2</v>
      </c>
      <c r="T92" s="81">
        <f t="shared" si="11"/>
        <v>1.0236966824644549E-2</v>
      </c>
      <c r="U92" s="81">
        <f t="shared" si="11"/>
        <v>8.7407933268258044E-3</v>
      </c>
      <c r="V92" s="81">
        <f t="shared" si="11"/>
        <v>1.2894532021421187E-3</v>
      </c>
      <c r="X92" s="4" t="s">
        <v>113</v>
      </c>
    </row>
  </sheetData>
  <sheetProtection algorithmName="SHA-512" hashValue="a79nfXcwPJz1bSM5L15I3IE/HJYNnvLav80pVAlZXhtTgRwkVa9Ysk9jUFRojnwcDlVYxcMapNAQEMBiGxgFfw==" saltValue="QV5AsvciaE6NjPRzNPqvOg=="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6C6FE-E4B1-43F7-9AC4-9BAE81B20834}">
  <sheetPr codeName="Sheet27"/>
  <dimension ref="A2:X92"/>
  <sheetViews>
    <sheetView workbookViewId="0"/>
  </sheetViews>
  <sheetFormatPr defaultRowHeight="15" x14ac:dyDescent="0.25"/>
  <cols>
    <col min="1" max="1" width="13" customWidth="1"/>
    <col min="23" max="23" width="11.85546875" customWidth="1"/>
  </cols>
  <sheetData>
    <row r="2" spans="1:24" x14ac:dyDescent="0.25">
      <c r="A2" t="s">
        <v>311</v>
      </c>
    </row>
    <row r="3" spans="1:24" x14ac:dyDescent="0.25">
      <c r="A3" s="77" t="s">
        <v>207</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3.0158</v>
      </c>
      <c r="C7">
        <v>9.1999999999999998E-3</v>
      </c>
      <c r="D7">
        <v>0.16589999999999999</v>
      </c>
      <c r="E7">
        <v>0.25090000000000001</v>
      </c>
      <c r="F7">
        <v>0.25090000000000001</v>
      </c>
      <c r="G7">
        <v>0.28910000000000002</v>
      </c>
      <c r="H7">
        <v>0.5534</v>
      </c>
      <c r="I7">
        <v>19.0138</v>
      </c>
      <c r="J7">
        <v>0.12429999999999999</v>
      </c>
      <c r="K7">
        <v>2.3089</v>
      </c>
      <c r="L7">
        <v>1.98</v>
      </c>
      <c r="M7">
        <v>1.98</v>
      </c>
      <c r="N7">
        <v>3.7338</v>
      </c>
      <c r="O7">
        <v>8.1117000000000008</v>
      </c>
      <c r="P7">
        <v>22.029699999999998</v>
      </c>
      <c r="Q7">
        <v>0.1336</v>
      </c>
      <c r="R7">
        <v>2.4748000000000001</v>
      </c>
      <c r="S7">
        <v>2.2309000000000001</v>
      </c>
      <c r="T7">
        <v>2.2309000000000001</v>
      </c>
      <c r="U7">
        <v>4.0228000000000002</v>
      </c>
      <c r="V7">
        <v>8.6651000000000007</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6.8999999999999999E-3</v>
      </c>
      <c r="E10">
        <v>2.0000000000000001E-4</v>
      </c>
      <c r="F10">
        <v>2.0000000000000001E-4</v>
      </c>
      <c r="G10">
        <v>4.8999999999999998E-3</v>
      </c>
      <c r="H10">
        <v>2.9999999999999997E-4</v>
      </c>
      <c r="I10">
        <v>1.3100000000000001E-2</v>
      </c>
      <c r="J10">
        <v>6.9999999999999999E-4</v>
      </c>
      <c r="K10">
        <v>0.52700000000000002</v>
      </c>
      <c r="L10">
        <v>1.34E-2</v>
      </c>
      <c r="M10">
        <v>1.34E-2</v>
      </c>
      <c r="N10">
        <v>0.3725</v>
      </c>
      <c r="O10">
        <v>2.0899999999999998E-2</v>
      </c>
      <c r="P10">
        <v>1.3299999999999999E-2</v>
      </c>
      <c r="Q10">
        <v>6.9999999999999999E-4</v>
      </c>
      <c r="R10">
        <v>0.53390000000000004</v>
      </c>
      <c r="S10">
        <v>1.35E-2</v>
      </c>
      <c r="T10">
        <v>1.35E-2</v>
      </c>
      <c r="U10">
        <v>0.37740000000000001</v>
      </c>
      <c r="V10">
        <v>2.12E-2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2.8299999999999999E-2</v>
      </c>
      <c r="J13">
        <v>2.9999999999999997E-4</v>
      </c>
      <c r="K13">
        <v>1E-3</v>
      </c>
      <c r="L13">
        <v>1.6999999999999999E-3</v>
      </c>
      <c r="M13">
        <v>1.6999999999999999E-3</v>
      </c>
      <c r="N13">
        <v>2E-3</v>
      </c>
      <c r="O13">
        <v>2.2000000000000001E-3</v>
      </c>
      <c r="P13">
        <v>2.8400000000000002E-2</v>
      </c>
      <c r="Q13">
        <v>2.9999999999999997E-4</v>
      </c>
      <c r="R13">
        <v>1E-3</v>
      </c>
      <c r="S13">
        <v>1.6999999999999999E-3</v>
      </c>
      <c r="T13">
        <v>1.6999999999999999E-3</v>
      </c>
      <c r="U13">
        <v>2E-3</v>
      </c>
      <c r="V13">
        <v>2.2000000000000001E-3</v>
      </c>
      <c r="W13" s="4" t="s">
        <v>122</v>
      </c>
      <c r="X13" s="4" t="s">
        <v>114</v>
      </c>
    </row>
    <row r="14" spans="1:24" x14ac:dyDescent="0.25">
      <c r="A14" s="4">
        <v>2104004000</v>
      </c>
      <c r="B14">
        <v>4.1999999999999997E-3</v>
      </c>
      <c r="C14">
        <v>2.0000000000000001E-4</v>
      </c>
      <c r="D14">
        <v>0.1062</v>
      </c>
      <c r="E14">
        <v>4.3E-3</v>
      </c>
      <c r="F14">
        <v>4.3E-3</v>
      </c>
      <c r="G14">
        <v>0.27360000000000001</v>
      </c>
      <c r="H14">
        <v>6.7000000000000002E-3</v>
      </c>
      <c r="I14">
        <v>5.0900000000000001E-2</v>
      </c>
      <c r="J14">
        <v>2.8E-3</v>
      </c>
      <c r="K14">
        <v>1.2754000000000001</v>
      </c>
      <c r="L14">
        <v>5.1799999999999999E-2</v>
      </c>
      <c r="M14">
        <v>5.1799999999999999E-2</v>
      </c>
      <c r="N14">
        <v>3.2843</v>
      </c>
      <c r="O14">
        <v>8.1000000000000003E-2</v>
      </c>
      <c r="P14">
        <v>5.5100000000000003E-2</v>
      </c>
      <c r="Q14">
        <v>3.0000000000000001E-3</v>
      </c>
      <c r="R14">
        <v>1.3815999999999999</v>
      </c>
      <c r="S14">
        <v>5.62E-2</v>
      </c>
      <c r="T14">
        <v>5.62E-2</v>
      </c>
      <c r="U14">
        <v>3.5577999999999999</v>
      </c>
      <c r="V14">
        <v>8.7800000000000003E-2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0.1106</v>
      </c>
      <c r="C16">
        <v>8.0000000000000004E-4</v>
      </c>
      <c r="D16">
        <v>1.1000000000000001E-3</v>
      </c>
      <c r="E16">
        <v>1.52E-2</v>
      </c>
      <c r="F16">
        <v>1.52E-2</v>
      </c>
      <c r="G16">
        <v>2.0000000000000001E-4</v>
      </c>
      <c r="H16">
        <v>0.1003</v>
      </c>
      <c r="I16">
        <v>6.6257000000000001</v>
      </c>
      <c r="J16">
        <v>4.7199999999999999E-2</v>
      </c>
      <c r="K16">
        <v>6.8199999999999997E-2</v>
      </c>
      <c r="L16">
        <v>0.90759999999999996</v>
      </c>
      <c r="M16">
        <v>0.90759999999999996</v>
      </c>
      <c r="N16">
        <v>1.0500000000000001E-2</v>
      </c>
      <c r="O16">
        <v>6.0067000000000004</v>
      </c>
      <c r="P16">
        <v>6.7363999999999997</v>
      </c>
      <c r="Q16">
        <v>4.8000000000000001E-2</v>
      </c>
      <c r="R16">
        <v>6.93E-2</v>
      </c>
      <c r="S16">
        <v>0.92269999999999996</v>
      </c>
      <c r="T16">
        <v>0.92269999999999996</v>
      </c>
      <c r="U16">
        <v>1.0699999999999999E-2</v>
      </c>
      <c r="V16">
        <v>6.1070000000000002</v>
      </c>
      <c r="W16" s="4" t="s">
        <v>125</v>
      </c>
      <c r="X16" s="4" t="s">
        <v>116</v>
      </c>
    </row>
    <row r="17" spans="1:24" x14ac:dyDescent="0.25">
      <c r="A17" s="4">
        <v>2104008210</v>
      </c>
      <c r="B17">
        <v>5.8599999999999999E-2</v>
      </c>
      <c r="C17">
        <v>4.0000000000000002E-4</v>
      </c>
      <c r="D17">
        <v>6.9999999999999999E-4</v>
      </c>
      <c r="E17">
        <v>7.7999999999999996E-3</v>
      </c>
      <c r="F17">
        <v>7.7999999999999996E-3</v>
      </c>
      <c r="G17">
        <v>1E-4</v>
      </c>
      <c r="H17">
        <v>1.35E-2</v>
      </c>
      <c r="I17">
        <v>0.24279999999999999</v>
      </c>
      <c r="J17">
        <v>1.8E-3</v>
      </c>
      <c r="K17">
        <v>2.8999999999999998E-3</v>
      </c>
      <c r="L17">
        <v>3.2199999999999999E-2</v>
      </c>
      <c r="M17">
        <v>3.2199999999999999E-2</v>
      </c>
      <c r="N17">
        <v>4.0000000000000002E-4</v>
      </c>
      <c r="O17">
        <v>5.5800000000000002E-2</v>
      </c>
      <c r="P17">
        <v>0.3014</v>
      </c>
      <c r="Q17">
        <v>2.2000000000000001E-3</v>
      </c>
      <c r="R17">
        <v>3.7000000000000002E-3</v>
      </c>
      <c r="S17">
        <v>0.04</v>
      </c>
      <c r="T17">
        <v>0.04</v>
      </c>
      <c r="U17">
        <v>5.0000000000000001E-4</v>
      </c>
      <c r="V17">
        <v>6.9199999999999998E-2</v>
      </c>
      <c r="W17" s="4" t="s">
        <v>126</v>
      </c>
      <c r="X17" s="4" t="s">
        <v>116</v>
      </c>
    </row>
    <row r="18" spans="1:24" x14ac:dyDescent="0.25">
      <c r="A18" s="4">
        <v>2104008220</v>
      </c>
      <c r="B18">
        <v>0.1273</v>
      </c>
      <c r="C18">
        <v>8.0000000000000004E-4</v>
      </c>
      <c r="D18">
        <v>1.8E-3</v>
      </c>
      <c r="E18">
        <v>1.0800000000000001E-2</v>
      </c>
      <c r="F18">
        <v>1.0800000000000001E-2</v>
      </c>
      <c r="G18">
        <v>4.0000000000000002E-4</v>
      </c>
      <c r="H18">
        <v>1.0800000000000001E-2</v>
      </c>
      <c r="I18">
        <v>0.52749999999999997</v>
      </c>
      <c r="J18">
        <v>3.3999999999999998E-3</v>
      </c>
      <c r="K18">
        <v>7.4999999999999997E-3</v>
      </c>
      <c r="L18">
        <v>4.4999999999999998E-2</v>
      </c>
      <c r="M18">
        <v>4.4999999999999998E-2</v>
      </c>
      <c r="N18">
        <v>1.5E-3</v>
      </c>
      <c r="O18">
        <v>4.4999999999999998E-2</v>
      </c>
      <c r="P18">
        <v>0.65480000000000005</v>
      </c>
      <c r="Q18">
        <v>4.1999999999999997E-3</v>
      </c>
      <c r="R18">
        <v>9.2999999999999992E-3</v>
      </c>
      <c r="S18">
        <v>5.5800000000000002E-2</v>
      </c>
      <c r="T18">
        <v>5.5800000000000002E-2</v>
      </c>
      <c r="U18">
        <v>1.9E-3</v>
      </c>
      <c r="V18">
        <v>5.5800000000000002E-2</v>
      </c>
      <c r="W18" s="4" t="s">
        <v>127</v>
      </c>
      <c r="X18" s="4" t="s">
        <v>116</v>
      </c>
    </row>
    <row r="19" spans="1:24" x14ac:dyDescent="0.25">
      <c r="A19" s="4">
        <v>2104008230</v>
      </c>
      <c r="B19">
        <v>0.1406</v>
      </c>
      <c r="C19">
        <v>1.1999999999999999E-3</v>
      </c>
      <c r="D19">
        <v>2.5999999999999999E-3</v>
      </c>
      <c r="E19">
        <v>1.7100000000000001E-2</v>
      </c>
      <c r="F19">
        <v>1.7100000000000001E-2</v>
      </c>
      <c r="G19">
        <v>5.0000000000000001E-4</v>
      </c>
      <c r="H19">
        <v>1.9699999999999999E-2</v>
      </c>
      <c r="I19">
        <v>0.5827</v>
      </c>
      <c r="J19">
        <v>4.8999999999999998E-3</v>
      </c>
      <c r="K19">
        <v>1.09E-2</v>
      </c>
      <c r="L19">
        <v>7.0800000000000002E-2</v>
      </c>
      <c r="M19">
        <v>7.0800000000000002E-2</v>
      </c>
      <c r="N19">
        <v>2.2000000000000001E-3</v>
      </c>
      <c r="O19">
        <v>8.1699999999999995E-2</v>
      </c>
      <c r="P19">
        <v>0.72330000000000005</v>
      </c>
      <c r="Q19">
        <v>6.1000000000000004E-3</v>
      </c>
      <c r="R19">
        <v>1.35E-2</v>
      </c>
      <c r="S19">
        <v>8.7900000000000006E-2</v>
      </c>
      <c r="T19">
        <v>8.7900000000000006E-2</v>
      </c>
      <c r="U19">
        <v>2.7000000000000001E-3</v>
      </c>
      <c r="V19">
        <v>0.1014</v>
      </c>
      <c r="W19" s="4" t="s">
        <v>128</v>
      </c>
      <c r="X19" s="4" t="s">
        <v>116</v>
      </c>
    </row>
    <row r="20" spans="1:24" x14ac:dyDescent="0.25">
      <c r="A20" s="4">
        <v>2104008310</v>
      </c>
      <c r="B20">
        <v>0.25169999999999998</v>
      </c>
      <c r="C20">
        <v>8.0000000000000004E-4</v>
      </c>
      <c r="D20">
        <v>3.0000000000000001E-3</v>
      </c>
      <c r="E20">
        <v>2.52E-2</v>
      </c>
      <c r="F20">
        <v>2.52E-2</v>
      </c>
      <c r="G20">
        <v>8.0000000000000004E-4</v>
      </c>
      <c r="H20">
        <v>0.1101</v>
      </c>
      <c r="I20">
        <v>1.0428999999999999</v>
      </c>
      <c r="J20">
        <v>3.3999999999999998E-3</v>
      </c>
      <c r="K20">
        <v>1.2500000000000001E-2</v>
      </c>
      <c r="L20">
        <v>0.1045</v>
      </c>
      <c r="M20">
        <v>0.1045</v>
      </c>
      <c r="N20">
        <v>3.3999999999999998E-3</v>
      </c>
      <c r="O20">
        <v>0.45619999999999999</v>
      </c>
      <c r="P20">
        <v>1.2946</v>
      </c>
      <c r="Q20">
        <v>4.1999999999999997E-3</v>
      </c>
      <c r="R20">
        <v>1.55E-2</v>
      </c>
      <c r="S20">
        <v>0.12970000000000001</v>
      </c>
      <c r="T20">
        <v>0.12970000000000001</v>
      </c>
      <c r="U20">
        <v>4.3E-3</v>
      </c>
      <c r="V20">
        <v>0.56620000000000004</v>
      </c>
      <c r="W20" s="4" t="s">
        <v>129</v>
      </c>
      <c r="X20" s="4" t="s">
        <v>116</v>
      </c>
    </row>
    <row r="21" spans="1:24" x14ac:dyDescent="0.25">
      <c r="A21" s="4">
        <v>2104008320</v>
      </c>
      <c r="B21">
        <v>0.91459999999999997</v>
      </c>
      <c r="C21">
        <v>1.8E-3</v>
      </c>
      <c r="D21">
        <v>1.1900000000000001E-2</v>
      </c>
      <c r="E21">
        <v>5.8599999999999999E-2</v>
      </c>
      <c r="F21">
        <v>5.8599999999999999E-2</v>
      </c>
      <c r="G21">
        <v>3.0000000000000001E-3</v>
      </c>
      <c r="H21">
        <v>8.8800000000000004E-2</v>
      </c>
      <c r="I21">
        <v>3.7898000000000001</v>
      </c>
      <c r="J21">
        <v>7.7000000000000002E-3</v>
      </c>
      <c r="K21">
        <v>4.9299999999999997E-2</v>
      </c>
      <c r="L21">
        <v>0.2429</v>
      </c>
      <c r="M21">
        <v>0.2429</v>
      </c>
      <c r="N21">
        <v>1.23E-2</v>
      </c>
      <c r="O21">
        <v>0.36780000000000002</v>
      </c>
      <c r="P21">
        <v>4.7043999999999997</v>
      </c>
      <c r="Q21">
        <v>9.4999999999999998E-3</v>
      </c>
      <c r="R21">
        <v>6.1199999999999997E-2</v>
      </c>
      <c r="S21">
        <v>0.30149999999999999</v>
      </c>
      <c r="T21">
        <v>0.30149999999999999</v>
      </c>
      <c r="U21">
        <v>1.52E-2</v>
      </c>
      <c r="V21">
        <v>0.45660000000000001</v>
      </c>
      <c r="W21" s="4" t="s">
        <v>130</v>
      </c>
      <c r="X21" s="4" t="s">
        <v>116</v>
      </c>
    </row>
    <row r="22" spans="1:24" x14ac:dyDescent="0.25">
      <c r="A22" s="4">
        <v>2104008330</v>
      </c>
      <c r="B22">
        <v>1.3293999999999999</v>
      </c>
      <c r="C22">
        <v>2.7000000000000001E-3</v>
      </c>
      <c r="D22">
        <v>1.7299999999999999E-2</v>
      </c>
      <c r="E22">
        <v>9.4500000000000001E-2</v>
      </c>
      <c r="F22">
        <v>9.4500000000000001E-2</v>
      </c>
      <c r="G22">
        <v>4.3E-3</v>
      </c>
      <c r="H22">
        <v>0.1613</v>
      </c>
      <c r="I22">
        <v>5.5087000000000002</v>
      </c>
      <c r="J22">
        <v>1.11E-2</v>
      </c>
      <c r="K22">
        <v>7.17E-2</v>
      </c>
      <c r="L22">
        <v>0.39179999999999998</v>
      </c>
      <c r="M22">
        <v>0.39179999999999998</v>
      </c>
      <c r="N22">
        <v>1.78E-2</v>
      </c>
      <c r="O22">
        <v>0.66830000000000001</v>
      </c>
      <c r="P22">
        <v>6.8380999999999998</v>
      </c>
      <c r="Q22">
        <v>1.38E-2</v>
      </c>
      <c r="R22">
        <v>8.8999999999999996E-2</v>
      </c>
      <c r="S22">
        <v>0.48630000000000001</v>
      </c>
      <c r="T22">
        <v>0.48630000000000001</v>
      </c>
      <c r="U22">
        <v>2.2100000000000002E-2</v>
      </c>
      <c r="V22">
        <v>0.8296</v>
      </c>
      <c r="W22" s="4" t="s">
        <v>131</v>
      </c>
      <c r="X22" s="4" t="s">
        <v>116</v>
      </c>
    </row>
    <row r="23" spans="1:24" x14ac:dyDescent="0.25">
      <c r="A23" s="4">
        <v>2104008410</v>
      </c>
      <c r="B23">
        <v>3.3E-3</v>
      </c>
      <c r="C23">
        <v>0</v>
      </c>
      <c r="D23">
        <v>1.2999999999999999E-3</v>
      </c>
      <c r="E23">
        <v>1E-3</v>
      </c>
      <c r="F23">
        <v>1E-3</v>
      </c>
      <c r="G23">
        <v>1E-4</v>
      </c>
      <c r="H23">
        <v>8.0000000000000004E-4</v>
      </c>
      <c r="I23">
        <v>1.38E-2</v>
      </c>
      <c r="J23">
        <v>1E-4</v>
      </c>
      <c r="K23">
        <v>5.5999999999999999E-3</v>
      </c>
      <c r="L23">
        <v>4.1000000000000003E-3</v>
      </c>
      <c r="M23">
        <v>4.1000000000000003E-3</v>
      </c>
      <c r="N23">
        <v>4.0000000000000002E-4</v>
      </c>
      <c r="O23">
        <v>3.2000000000000002E-3</v>
      </c>
      <c r="P23">
        <v>1.72E-2</v>
      </c>
      <c r="Q23">
        <v>1E-4</v>
      </c>
      <c r="R23">
        <v>6.8999999999999999E-3</v>
      </c>
      <c r="S23">
        <v>5.1000000000000004E-3</v>
      </c>
      <c r="T23">
        <v>5.1000000000000004E-3</v>
      </c>
      <c r="U23">
        <v>5.9999999999999995E-4</v>
      </c>
      <c r="V23">
        <v>4.0000000000000001E-3</v>
      </c>
      <c r="W23" s="4" t="s">
        <v>132</v>
      </c>
      <c r="X23" s="4" t="s">
        <v>116</v>
      </c>
    </row>
    <row r="24" spans="1:24" x14ac:dyDescent="0.25">
      <c r="A24" s="4">
        <v>2104008420</v>
      </c>
      <c r="B24">
        <v>2.92E-2</v>
      </c>
      <c r="C24">
        <v>2.0000000000000001E-4</v>
      </c>
      <c r="D24">
        <v>1.18E-2</v>
      </c>
      <c r="E24">
        <v>8.6999999999999994E-3</v>
      </c>
      <c r="F24">
        <v>8.6999999999999994E-3</v>
      </c>
      <c r="G24">
        <v>8.9999999999999998E-4</v>
      </c>
      <c r="H24">
        <v>6.7000000000000002E-3</v>
      </c>
      <c r="I24">
        <v>0.1208</v>
      </c>
      <c r="J24">
        <v>8.9999999999999998E-4</v>
      </c>
      <c r="K24">
        <v>4.87E-2</v>
      </c>
      <c r="L24">
        <v>3.5999999999999997E-2</v>
      </c>
      <c r="M24">
        <v>3.5999999999999997E-2</v>
      </c>
      <c r="N24">
        <v>3.8999999999999998E-3</v>
      </c>
      <c r="O24">
        <v>2.7900000000000001E-2</v>
      </c>
      <c r="P24">
        <v>0.15</v>
      </c>
      <c r="Q24">
        <v>1.1000000000000001E-3</v>
      </c>
      <c r="R24">
        <v>6.0499999999999998E-2</v>
      </c>
      <c r="S24">
        <v>4.4699999999999997E-2</v>
      </c>
      <c r="T24">
        <v>4.4699999999999997E-2</v>
      </c>
      <c r="U24">
        <v>4.7999999999999996E-3</v>
      </c>
      <c r="V24">
        <v>3.4599999999999999E-2</v>
      </c>
      <c r="W24" s="4" t="s">
        <v>133</v>
      </c>
      <c r="X24" s="4" t="s">
        <v>116</v>
      </c>
    </row>
    <row r="25" spans="1:24" x14ac:dyDescent="0.25">
      <c r="A25" s="4">
        <v>2104008610</v>
      </c>
      <c r="B25">
        <v>4.5600000000000002E-2</v>
      </c>
      <c r="C25">
        <v>2.0000000000000001E-4</v>
      </c>
      <c r="D25">
        <v>1.1999999999999999E-3</v>
      </c>
      <c r="E25">
        <v>7.4000000000000003E-3</v>
      </c>
      <c r="F25">
        <v>7.4000000000000003E-3</v>
      </c>
      <c r="G25">
        <v>2.9999999999999997E-4</v>
      </c>
      <c r="H25">
        <v>3.4200000000000001E-2</v>
      </c>
      <c r="I25">
        <v>0.37740000000000001</v>
      </c>
      <c r="J25">
        <v>1.5E-3</v>
      </c>
      <c r="K25">
        <v>0.01</v>
      </c>
      <c r="L25">
        <v>6.1499999999999999E-2</v>
      </c>
      <c r="M25">
        <v>6.1499999999999999E-2</v>
      </c>
      <c r="N25">
        <v>2.5000000000000001E-3</v>
      </c>
      <c r="O25">
        <v>0.28289999999999998</v>
      </c>
      <c r="P25">
        <v>0.42299999999999999</v>
      </c>
      <c r="Q25">
        <v>1.6999999999999999E-3</v>
      </c>
      <c r="R25">
        <v>1.1299999999999999E-2</v>
      </c>
      <c r="S25">
        <v>6.8900000000000003E-2</v>
      </c>
      <c r="T25">
        <v>6.8900000000000003E-2</v>
      </c>
      <c r="U25">
        <v>2.8E-3</v>
      </c>
      <c r="V25">
        <v>0.317</v>
      </c>
      <c r="W25" s="4" t="s">
        <v>134</v>
      </c>
      <c r="X25" s="4" t="s">
        <v>116</v>
      </c>
    </row>
    <row r="26" spans="1:24" x14ac:dyDescent="0.25">
      <c r="X26" s="4"/>
    </row>
    <row r="27" spans="1:24" x14ac:dyDescent="0.25">
      <c r="B27" s="79">
        <f>SUMIFS(B8:B25,$X8:$X25,$X27)/B7</f>
        <v>0.99847469991378712</v>
      </c>
      <c r="C27" s="79">
        <f t="shared" ref="C27:V27" si="0">SUMIFS(C8:C25,$X8:$X25,$X27)/C7</f>
        <v>0.96739130434782628</v>
      </c>
      <c r="D27" s="79">
        <f t="shared" si="0"/>
        <v>0.31766124171187465</v>
      </c>
      <c r="E27" s="79">
        <f t="shared" si="0"/>
        <v>0.9816660023913909</v>
      </c>
      <c r="F27" s="79">
        <f t="shared" si="0"/>
        <v>0.9816660023913909</v>
      </c>
      <c r="G27" s="79">
        <f t="shared" si="0"/>
        <v>3.6665513663092349E-2</v>
      </c>
      <c r="H27" s="79">
        <f t="shared" si="0"/>
        <v>0.98735092157571391</v>
      </c>
      <c r="I27" s="79">
        <f t="shared" si="0"/>
        <v>0.99053845101978566</v>
      </c>
      <c r="J27" s="79">
        <f t="shared" si="0"/>
        <v>0.65969428801287211</v>
      </c>
      <c r="K27" s="79">
        <f t="shared" si="0"/>
        <v>0.12443154749014683</v>
      </c>
      <c r="L27" s="79">
        <f t="shared" si="0"/>
        <v>0.95792929292929296</v>
      </c>
      <c r="M27" s="79">
        <f t="shared" si="0"/>
        <v>0.95792929292929296</v>
      </c>
      <c r="N27" s="79">
        <f t="shared" si="0"/>
        <v>1.4703519202956775E-2</v>
      </c>
      <c r="O27" s="79">
        <f t="shared" si="0"/>
        <v>0.9857859634848426</v>
      </c>
      <c r="P27" s="79">
        <f t="shared" si="0"/>
        <v>0.99162948201745804</v>
      </c>
      <c r="Q27" s="79">
        <f t="shared" si="0"/>
        <v>0.68038922155688619</v>
      </c>
      <c r="R27" s="79">
        <f t="shared" si="0"/>
        <v>0.13746565379020523</v>
      </c>
      <c r="S27" s="79">
        <f t="shared" si="0"/>
        <v>0.96055403648751636</v>
      </c>
      <c r="T27" s="79">
        <f t="shared" si="0"/>
        <v>0.96055403648751636</v>
      </c>
      <c r="U27" s="79">
        <f t="shared" si="0"/>
        <v>1.6307049816048524E-2</v>
      </c>
      <c r="V27" s="79">
        <f t="shared" si="0"/>
        <v>0.98583974795443774</v>
      </c>
      <c r="X27" s="4" t="s">
        <v>116</v>
      </c>
    </row>
    <row r="28" spans="1:24" x14ac:dyDescent="0.25">
      <c r="B28" s="79">
        <f>SUMIFS(B8:B25,$X8:$X25,$X28)/B7</f>
        <v>1.458982691159891E-3</v>
      </c>
      <c r="C28" s="79">
        <f t="shared" ref="C28:V28" si="1">SUMIFS(C8:C25,$X8:$X25,$X28)/C7</f>
        <v>2.1739130434782612E-2</v>
      </c>
      <c r="D28" s="79">
        <f t="shared" si="1"/>
        <v>0.68173598553345394</v>
      </c>
      <c r="E28" s="79">
        <f t="shared" si="1"/>
        <v>1.793543244320446E-2</v>
      </c>
      <c r="F28" s="79">
        <f t="shared" si="1"/>
        <v>1.793543244320446E-2</v>
      </c>
      <c r="G28" s="79">
        <f t="shared" si="1"/>
        <v>0.96333448633690766</v>
      </c>
      <c r="H28" s="79">
        <f t="shared" si="1"/>
        <v>1.2649078424286231E-2</v>
      </c>
      <c r="I28" s="79">
        <f t="shared" si="1"/>
        <v>3.3659762909045011E-3</v>
      </c>
      <c r="J28" s="79">
        <f t="shared" si="1"/>
        <v>2.8157683024939664E-2</v>
      </c>
      <c r="K28" s="79">
        <f t="shared" si="1"/>
        <v>0.78063146953094553</v>
      </c>
      <c r="L28" s="79">
        <f t="shared" si="1"/>
        <v>3.2929292929292926E-2</v>
      </c>
      <c r="M28" s="79">
        <f t="shared" si="1"/>
        <v>3.2929292929292926E-2</v>
      </c>
      <c r="N28" s="79">
        <f t="shared" si="1"/>
        <v>0.97937757780277468</v>
      </c>
      <c r="O28" s="79">
        <f t="shared" si="1"/>
        <v>1.256210165563322E-2</v>
      </c>
      <c r="P28" s="79">
        <f t="shared" si="1"/>
        <v>3.1048992950426018E-3</v>
      </c>
      <c r="Q28" s="79">
        <f t="shared" si="1"/>
        <v>2.7694610778443117E-2</v>
      </c>
      <c r="R28" s="79">
        <f t="shared" si="1"/>
        <v>0.77400193955067076</v>
      </c>
      <c r="S28" s="79">
        <f t="shared" si="1"/>
        <v>3.1242996100228605E-2</v>
      </c>
      <c r="T28" s="79">
        <f t="shared" si="1"/>
        <v>3.1242996100228605E-2</v>
      </c>
      <c r="U28" s="79">
        <f t="shared" si="1"/>
        <v>0.97822412250174007</v>
      </c>
      <c r="V28" s="79">
        <f t="shared" si="1"/>
        <v>1.2579197008690032E-2</v>
      </c>
      <c r="X28" s="4" t="s">
        <v>115</v>
      </c>
    </row>
    <row r="29" spans="1:24" x14ac:dyDescent="0.25">
      <c r="B29" s="79">
        <f>SUMIFS(B8:B25,$X8:$X25,$X29)/B7</f>
        <v>9.9476092579083499E-5</v>
      </c>
      <c r="C29" s="79">
        <f t="shared" ref="C29:V29" si="2">SUMIFS(C8:C25,$X8:$X25,$X29)/C7</f>
        <v>0</v>
      </c>
      <c r="D29" s="79">
        <f t="shared" si="2"/>
        <v>0</v>
      </c>
      <c r="E29" s="79">
        <f t="shared" si="2"/>
        <v>0</v>
      </c>
      <c r="F29" s="79">
        <f t="shared" si="2"/>
        <v>0</v>
      </c>
      <c r="G29" s="79">
        <f t="shared" si="2"/>
        <v>0</v>
      </c>
      <c r="H29" s="79">
        <f t="shared" si="2"/>
        <v>0</v>
      </c>
      <c r="I29" s="79">
        <f t="shared" si="2"/>
        <v>1.7092848352249419E-3</v>
      </c>
      <c r="J29" s="79">
        <f t="shared" si="2"/>
        <v>2.4135156878519709E-3</v>
      </c>
      <c r="K29" s="79">
        <f t="shared" si="2"/>
        <v>5.1972800900861884E-4</v>
      </c>
      <c r="L29" s="79">
        <f t="shared" si="2"/>
        <v>1.0101010101010101E-3</v>
      </c>
      <c r="M29" s="79">
        <f t="shared" si="2"/>
        <v>1.0101010101010101E-3</v>
      </c>
      <c r="N29" s="79">
        <f t="shared" si="2"/>
        <v>6.1599442926777012E-4</v>
      </c>
      <c r="O29" s="79">
        <f t="shared" si="2"/>
        <v>3.0819680214998088E-4</v>
      </c>
      <c r="P29" s="79">
        <f t="shared" si="2"/>
        <v>1.4934384036096725E-3</v>
      </c>
      <c r="Q29" s="79">
        <f t="shared" si="2"/>
        <v>2.2455089820359281E-3</v>
      </c>
      <c r="R29" s="79">
        <f t="shared" si="2"/>
        <v>4.8488766769031843E-4</v>
      </c>
      <c r="S29" s="79">
        <f t="shared" si="2"/>
        <v>8.9649917073826709E-4</v>
      </c>
      <c r="T29" s="79">
        <f t="shared" si="2"/>
        <v>8.9649917073826709E-4</v>
      </c>
      <c r="U29" s="79">
        <f t="shared" si="2"/>
        <v>5.7174107586755493E-4</v>
      </c>
      <c r="V29" s="79">
        <f t="shared" si="2"/>
        <v>2.8851369285986313E-4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4.3757691781758506E-3</v>
      </c>
      <c r="J30" s="79">
        <f t="shared" si="3"/>
        <v>0.30973451327433632</v>
      </c>
      <c r="K30" s="79">
        <f t="shared" si="3"/>
        <v>9.4330633635064332E-2</v>
      </c>
      <c r="L30" s="79">
        <f t="shared" si="3"/>
        <v>8.1818181818181807E-3</v>
      </c>
      <c r="M30" s="79">
        <f t="shared" si="3"/>
        <v>8.1818181818181807E-3</v>
      </c>
      <c r="N30" s="79">
        <f t="shared" si="3"/>
        <v>5.2761261985109003E-3</v>
      </c>
      <c r="O30" s="79">
        <f t="shared" si="3"/>
        <v>1.368393801545915E-3</v>
      </c>
      <c r="P30" s="79">
        <f t="shared" si="3"/>
        <v>3.7767196103442174E-3</v>
      </c>
      <c r="Q30" s="79">
        <f t="shared" si="3"/>
        <v>0.28817365269461076</v>
      </c>
      <c r="R30" s="79">
        <f t="shared" si="3"/>
        <v>8.8007111685792797E-2</v>
      </c>
      <c r="S30" s="79">
        <f t="shared" si="3"/>
        <v>7.2616432829799623E-3</v>
      </c>
      <c r="T30" s="79">
        <f t="shared" si="3"/>
        <v>7.2616432829799623E-3</v>
      </c>
      <c r="U30" s="79">
        <f t="shared" si="3"/>
        <v>4.8970866063438399E-3</v>
      </c>
      <c r="V30" s="79">
        <f t="shared" si="3"/>
        <v>1.2810007962977923E-3</v>
      </c>
      <c r="X30" s="4" t="s">
        <v>113</v>
      </c>
    </row>
    <row r="33" spans="1:24" x14ac:dyDescent="0.25">
      <c r="A33" t="s">
        <v>312</v>
      </c>
    </row>
    <row r="34" spans="1:24" x14ac:dyDescent="0.25">
      <c r="A34" s="77" t="s">
        <v>208</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3.0158</v>
      </c>
      <c r="C38">
        <v>9.1999999999999998E-3</v>
      </c>
      <c r="D38">
        <v>0.16589999999999999</v>
      </c>
      <c r="E38">
        <v>0.25090000000000001</v>
      </c>
      <c r="F38">
        <v>0.25090000000000001</v>
      </c>
      <c r="G38">
        <v>0.28910000000000002</v>
      </c>
      <c r="H38">
        <v>0.5534</v>
      </c>
      <c r="I38">
        <v>19.0138</v>
      </c>
      <c r="J38">
        <v>0.12429999999999999</v>
      </c>
      <c r="K38">
        <v>2.3089</v>
      </c>
      <c r="L38">
        <v>1.1437999999999999</v>
      </c>
      <c r="M38">
        <v>1.1437999999999999</v>
      </c>
      <c r="N38">
        <v>1.9702999999999999</v>
      </c>
      <c r="O38">
        <v>8.1117000000000008</v>
      </c>
      <c r="P38">
        <v>22.029699999999998</v>
      </c>
      <c r="Q38">
        <v>0.1336</v>
      </c>
      <c r="R38">
        <v>2.4748000000000001</v>
      </c>
      <c r="S38">
        <v>1.3948</v>
      </c>
      <c r="T38">
        <v>1.3948</v>
      </c>
      <c r="U38">
        <v>2.2593999999999999</v>
      </c>
      <c r="V38">
        <v>8.6651000000000007</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6.8999999999999999E-3</v>
      </c>
      <c r="E41">
        <v>2.0000000000000001E-4</v>
      </c>
      <c r="F41">
        <v>2.0000000000000001E-4</v>
      </c>
      <c r="G41">
        <v>4.8999999999999998E-3</v>
      </c>
      <c r="H41">
        <v>2.9999999999999997E-4</v>
      </c>
      <c r="I41">
        <v>1.3100000000000001E-2</v>
      </c>
      <c r="J41">
        <v>6.9999999999999999E-4</v>
      </c>
      <c r="K41">
        <v>0.52700000000000002</v>
      </c>
      <c r="L41">
        <v>7.4000000000000003E-3</v>
      </c>
      <c r="M41">
        <v>7.4000000000000003E-3</v>
      </c>
      <c r="N41">
        <v>0.38329999999999997</v>
      </c>
      <c r="O41">
        <v>2.0899999999999998E-2</v>
      </c>
      <c r="P41">
        <v>1.3299999999999999E-2</v>
      </c>
      <c r="Q41">
        <v>6.9999999999999999E-4</v>
      </c>
      <c r="R41">
        <v>0.53390000000000004</v>
      </c>
      <c r="S41">
        <v>7.6E-3</v>
      </c>
      <c r="T41">
        <v>7.6E-3</v>
      </c>
      <c r="U41">
        <v>0.3881</v>
      </c>
      <c r="V41">
        <v>2.12E-2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2.8299999999999999E-2</v>
      </c>
      <c r="J44">
        <v>2.9999999999999997E-4</v>
      </c>
      <c r="K44">
        <v>1E-3</v>
      </c>
      <c r="L44">
        <v>6.9999999999999999E-4</v>
      </c>
      <c r="M44">
        <v>6.9999999999999999E-4</v>
      </c>
      <c r="N44">
        <v>1E-3</v>
      </c>
      <c r="O44">
        <v>2.2000000000000001E-3</v>
      </c>
      <c r="P44">
        <v>2.8400000000000002E-2</v>
      </c>
      <c r="Q44">
        <v>2.9999999999999997E-4</v>
      </c>
      <c r="R44">
        <v>1E-3</v>
      </c>
      <c r="S44">
        <v>6.9999999999999999E-4</v>
      </c>
      <c r="T44">
        <v>6.9999999999999999E-4</v>
      </c>
      <c r="U44">
        <v>1.1000000000000001E-3</v>
      </c>
      <c r="V44">
        <v>2.2000000000000001E-3</v>
      </c>
      <c r="W44" s="4" t="s">
        <v>122</v>
      </c>
      <c r="X44" s="4" t="s">
        <v>114</v>
      </c>
    </row>
    <row r="45" spans="1:24" x14ac:dyDescent="0.25">
      <c r="A45" s="4">
        <v>2104004000</v>
      </c>
      <c r="B45">
        <v>4.1999999999999997E-3</v>
      </c>
      <c r="C45">
        <v>2.0000000000000001E-4</v>
      </c>
      <c r="D45">
        <v>0.1062</v>
      </c>
      <c r="E45">
        <v>4.3E-3</v>
      </c>
      <c r="F45">
        <v>4.3E-3</v>
      </c>
      <c r="G45">
        <v>0.27360000000000001</v>
      </c>
      <c r="H45">
        <v>6.7000000000000002E-3</v>
      </c>
      <c r="I45">
        <v>5.0900000000000001E-2</v>
      </c>
      <c r="J45">
        <v>2.8E-3</v>
      </c>
      <c r="K45">
        <v>1.2754000000000001</v>
      </c>
      <c r="L45">
        <v>2.1600000000000001E-2</v>
      </c>
      <c r="M45">
        <v>2.1600000000000001E-2</v>
      </c>
      <c r="N45">
        <v>1.5196000000000001</v>
      </c>
      <c r="O45">
        <v>8.1000000000000003E-2</v>
      </c>
      <c r="P45">
        <v>5.5100000000000003E-2</v>
      </c>
      <c r="Q45">
        <v>3.0000000000000001E-3</v>
      </c>
      <c r="R45">
        <v>1.3815999999999999</v>
      </c>
      <c r="S45">
        <v>2.5899999999999999E-2</v>
      </c>
      <c r="T45">
        <v>2.5899999999999999E-2</v>
      </c>
      <c r="U45">
        <v>1.7931999999999999</v>
      </c>
      <c r="V45">
        <v>8.7800000000000003E-2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0.1106</v>
      </c>
      <c r="C47">
        <v>8.0000000000000004E-4</v>
      </c>
      <c r="D47">
        <v>1.1000000000000001E-3</v>
      </c>
      <c r="E47">
        <v>1.52E-2</v>
      </c>
      <c r="F47">
        <v>1.52E-2</v>
      </c>
      <c r="G47">
        <v>2.0000000000000001E-4</v>
      </c>
      <c r="H47">
        <v>0.1003</v>
      </c>
      <c r="I47">
        <v>6.6257000000000001</v>
      </c>
      <c r="J47">
        <v>4.7199999999999999E-2</v>
      </c>
      <c r="K47">
        <v>6.8199999999999997E-2</v>
      </c>
      <c r="L47">
        <v>0.42549999999999999</v>
      </c>
      <c r="M47">
        <v>0.42549999999999999</v>
      </c>
      <c r="N47">
        <v>6.3E-3</v>
      </c>
      <c r="O47">
        <v>6.0067000000000004</v>
      </c>
      <c r="P47">
        <v>6.7363999999999997</v>
      </c>
      <c r="Q47">
        <v>4.8000000000000001E-2</v>
      </c>
      <c r="R47">
        <v>6.93E-2</v>
      </c>
      <c r="S47">
        <v>0.44059999999999999</v>
      </c>
      <c r="T47">
        <v>0.44059999999999999</v>
      </c>
      <c r="U47">
        <v>6.4999999999999997E-3</v>
      </c>
      <c r="V47">
        <v>6.1070000000000002</v>
      </c>
      <c r="W47" s="4" t="s">
        <v>125</v>
      </c>
      <c r="X47" s="4" t="s">
        <v>116</v>
      </c>
    </row>
    <row r="48" spans="1:24" x14ac:dyDescent="0.25">
      <c r="A48" s="4">
        <v>2104008210</v>
      </c>
      <c r="B48">
        <v>5.8599999999999999E-2</v>
      </c>
      <c r="C48">
        <v>4.0000000000000002E-4</v>
      </c>
      <c r="D48">
        <v>6.9999999999999999E-4</v>
      </c>
      <c r="E48">
        <v>7.7999999999999996E-3</v>
      </c>
      <c r="F48">
        <v>7.7999999999999996E-3</v>
      </c>
      <c r="G48">
        <v>1E-4</v>
      </c>
      <c r="H48">
        <v>1.35E-2</v>
      </c>
      <c r="I48">
        <v>0.24279999999999999</v>
      </c>
      <c r="J48">
        <v>1.8E-3</v>
      </c>
      <c r="K48">
        <v>2.8999999999999998E-3</v>
      </c>
      <c r="L48">
        <v>1.4800000000000001E-2</v>
      </c>
      <c r="M48">
        <v>1.4800000000000001E-2</v>
      </c>
      <c r="N48">
        <v>2.0000000000000001E-4</v>
      </c>
      <c r="O48">
        <v>5.5800000000000002E-2</v>
      </c>
      <c r="P48">
        <v>0.3014</v>
      </c>
      <c r="Q48">
        <v>2.2000000000000001E-3</v>
      </c>
      <c r="R48">
        <v>3.7000000000000002E-3</v>
      </c>
      <c r="S48">
        <v>2.2599999999999999E-2</v>
      </c>
      <c r="T48">
        <v>2.2599999999999999E-2</v>
      </c>
      <c r="U48">
        <v>2.9999999999999997E-4</v>
      </c>
      <c r="V48">
        <v>6.9199999999999998E-2</v>
      </c>
      <c r="W48" s="4" t="s">
        <v>126</v>
      </c>
      <c r="X48" s="4" t="s">
        <v>116</v>
      </c>
    </row>
    <row r="49" spans="1:24" x14ac:dyDescent="0.25">
      <c r="A49" s="4">
        <v>2104008220</v>
      </c>
      <c r="B49">
        <v>0.1273</v>
      </c>
      <c r="C49">
        <v>8.0000000000000004E-4</v>
      </c>
      <c r="D49">
        <v>1.8E-3</v>
      </c>
      <c r="E49">
        <v>1.0800000000000001E-2</v>
      </c>
      <c r="F49">
        <v>1.0800000000000001E-2</v>
      </c>
      <c r="G49">
        <v>4.0000000000000002E-4</v>
      </c>
      <c r="H49">
        <v>1.0800000000000001E-2</v>
      </c>
      <c r="I49">
        <v>0.52749999999999997</v>
      </c>
      <c r="J49">
        <v>3.3999999999999998E-3</v>
      </c>
      <c r="K49">
        <v>7.4999999999999997E-3</v>
      </c>
      <c r="L49">
        <v>3.39E-2</v>
      </c>
      <c r="M49">
        <v>3.39E-2</v>
      </c>
      <c r="N49">
        <v>1.4E-3</v>
      </c>
      <c r="O49">
        <v>4.4999999999999998E-2</v>
      </c>
      <c r="P49">
        <v>0.65480000000000005</v>
      </c>
      <c r="Q49">
        <v>4.1999999999999997E-3</v>
      </c>
      <c r="R49">
        <v>9.2999999999999992E-3</v>
      </c>
      <c r="S49">
        <v>4.48E-2</v>
      </c>
      <c r="T49">
        <v>4.48E-2</v>
      </c>
      <c r="U49">
        <v>1.8E-3</v>
      </c>
      <c r="V49">
        <v>5.5800000000000002E-2</v>
      </c>
      <c r="W49" s="4" t="s">
        <v>127</v>
      </c>
      <c r="X49" s="4" t="s">
        <v>116</v>
      </c>
    </row>
    <row r="50" spans="1:24" x14ac:dyDescent="0.25">
      <c r="A50" s="4">
        <v>2104008230</v>
      </c>
      <c r="B50">
        <v>0.1406</v>
      </c>
      <c r="C50">
        <v>1.1999999999999999E-3</v>
      </c>
      <c r="D50">
        <v>2.5999999999999999E-3</v>
      </c>
      <c r="E50">
        <v>1.7100000000000001E-2</v>
      </c>
      <c r="F50">
        <v>1.7100000000000001E-2</v>
      </c>
      <c r="G50">
        <v>5.0000000000000001E-4</v>
      </c>
      <c r="H50">
        <v>1.9699999999999999E-2</v>
      </c>
      <c r="I50">
        <v>0.5827</v>
      </c>
      <c r="J50">
        <v>4.8999999999999998E-3</v>
      </c>
      <c r="K50">
        <v>1.09E-2</v>
      </c>
      <c r="L50">
        <v>4.9799999999999997E-2</v>
      </c>
      <c r="M50">
        <v>4.9799999999999997E-2</v>
      </c>
      <c r="N50">
        <v>2E-3</v>
      </c>
      <c r="O50">
        <v>8.1699999999999995E-2</v>
      </c>
      <c r="P50">
        <v>0.72330000000000005</v>
      </c>
      <c r="Q50">
        <v>6.1000000000000004E-3</v>
      </c>
      <c r="R50">
        <v>1.35E-2</v>
      </c>
      <c r="S50">
        <v>6.6900000000000001E-2</v>
      </c>
      <c r="T50">
        <v>6.6900000000000001E-2</v>
      </c>
      <c r="U50">
        <v>2.5999999999999999E-3</v>
      </c>
      <c r="V50">
        <v>0.1014</v>
      </c>
      <c r="W50" s="4" t="s">
        <v>128</v>
      </c>
      <c r="X50" s="4" t="s">
        <v>116</v>
      </c>
    </row>
    <row r="51" spans="1:24" x14ac:dyDescent="0.25">
      <c r="A51" s="4">
        <v>2104008310</v>
      </c>
      <c r="B51">
        <v>0.25169999999999998</v>
      </c>
      <c r="C51">
        <v>8.0000000000000004E-4</v>
      </c>
      <c r="D51">
        <v>3.0000000000000001E-3</v>
      </c>
      <c r="E51">
        <v>2.52E-2</v>
      </c>
      <c r="F51">
        <v>2.52E-2</v>
      </c>
      <c r="G51">
        <v>8.0000000000000004E-4</v>
      </c>
      <c r="H51">
        <v>0.1101</v>
      </c>
      <c r="I51">
        <v>1.0428999999999999</v>
      </c>
      <c r="J51">
        <v>3.3999999999999998E-3</v>
      </c>
      <c r="K51">
        <v>1.2500000000000001E-2</v>
      </c>
      <c r="L51">
        <v>4.8399999999999999E-2</v>
      </c>
      <c r="M51">
        <v>4.8399999999999999E-2</v>
      </c>
      <c r="N51">
        <v>2E-3</v>
      </c>
      <c r="O51">
        <v>0.45619999999999999</v>
      </c>
      <c r="P51">
        <v>1.2946</v>
      </c>
      <c r="Q51">
        <v>4.1999999999999997E-3</v>
      </c>
      <c r="R51">
        <v>1.55E-2</v>
      </c>
      <c r="S51">
        <v>7.3599999999999999E-2</v>
      </c>
      <c r="T51">
        <v>7.3599999999999999E-2</v>
      </c>
      <c r="U51">
        <v>2.8999999999999998E-3</v>
      </c>
      <c r="V51">
        <v>0.56620000000000004</v>
      </c>
      <c r="W51" s="4" t="s">
        <v>129</v>
      </c>
      <c r="X51" s="4" t="s">
        <v>116</v>
      </c>
    </row>
    <row r="52" spans="1:24" x14ac:dyDescent="0.25">
      <c r="A52" s="4">
        <v>2104008320</v>
      </c>
      <c r="B52">
        <v>0.91459999999999997</v>
      </c>
      <c r="C52">
        <v>1.8E-3</v>
      </c>
      <c r="D52">
        <v>1.1900000000000001E-2</v>
      </c>
      <c r="E52">
        <v>5.8599999999999999E-2</v>
      </c>
      <c r="F52">
        <v>5.8599999999999999E-2</v>
      </c>
      <c r="G52">
        <v>3.0000000000000001E-3</v>
      </c>
      <c r="H52">
        <v>8.8800000000000004E-2</v>
      </c>
      <c r="I52">
        <v>3.7898000000000001</v>
      </c>
      <c r="J52">
        <v>7.7000000000000002E-3</v>
      </c>
      <c r="K52">
        <v>4.9299999999999997E-2</v>
      </c>
      <c r="L52">
        <v>0.1817</v>
      </c>
      <c r="M52">
        <v>0.1817</v>
      </c>
      <c r="N52">
        <v>1.17E-2</v>
      </c>
      <c r="O52">
        <v>0.36780000000000002</v>
      </c>
      <c r="P52">
        <v>4.7043999999999997</v>
      </c>
      <c r="Q52">
        <v>9.4999999999999998E-3</v>
      </c>
      <c r="R52">
        <v>6.1199999999999997E-2</v>
      </c>
      <c r="S52">
        <v>0.24030000000000001</v>
      </c>
      <c r="T52">
        <v>0.24030000000000001</v>
      </c>
      <c r="U52">
        <v>1.47E-2</v>
      </c>
      <c r="V52">
        <v>0.45660000000000001</v>
      </c>
      <c r="W52" s="4" t="s">
        <v>130</v>
      </c>
      <c r="X52" s="4" t="s">
        <v>116</v>
      </c>
    </row>
    <row r="53" spans="1:24" x14ac:dyDescent="0.25">
      <c r="A53" s="4">
        <v>2104008330</v>
      </c>
      <c r="B53">
        <v>1.3293999999999999</v>
      </c>
      <c r="C53">
        <v>2.7000000000000001E-3</v>
      </c>
      <c r="D53">
        <v>1.7299999999999999E-2</v>
      </c>
      <c r="E53">
        <v>9.4500000000000001E-2</v>
      </c>
      <c r="F53">
        <v>9.4500000000000001E-2</v>
      </c>
      <c r="G53">
        <v>4.3E-3</v>
      </c>
      <c r="H53">
        <v>0.1613</v>
      </c>
      <c r="I53">
        <v>5.5087000000000002</v>
      </c>
      <c r="J53">
        <v>1.11E-2</v>
      </c>
      <c r="K53">
        <v>7.17E-2</v>
      </c>
      <c r="L53">
        <v>0.28599999999999998</v>
      </c>
      <c r="M53">
        <v>0.28599999999999998</v>
      </c>
      <c r="N53">
        <v>1.7000000000000001E-2</v>
      </c>
      <c r="O53">
        <v>0.66830000000000001</v>
      </c>
      <c r="P53">
        <v>6.8380999999999998</v>
      </c>
      <c r="Q53">
        <v>1.38E-2</v>
      </c>
      <c r="R53">
        <v>8.8999999999999996E-2</v>
      </c>
      <c r="S53">
        <v>0.38059999999999999</v>
      </c>
      <c r="T53">
        <v>0.38059999999999999</v>
      </c>
      <c r="U53">
        <v>2.1299999999999999E-2</v>
      </c>
      <c r="V53">
        <v>0.8296</v>
      </c>
      <c r="W53" s="4" t="s">
        <v>131</v>
      </c>
      <c r="X53" s="4" t="s">
        <v>116</v>
      </c>
    </row>
    <row r="54" spans="1:24" x14ac:dyDescent="0.25">
      <c r="A54" s="4">
        <v>2104008410</v>
      </c>
      <c r="B54">
        <v>3.3E-3</v>
      </c>
      <c r="C54">
        <v>0</v>
      </c>
      <c r="D54">
        <v>1.2999999999999999E-3</v>
      </c>
      <c r="E54">
        <v>1E-3</v>
      </c>
      <c r="F54">
        <v>1E-3</v>
      </c>
      <c r="G54">
        <v>1E-4</v>
      </c>
      <c r="H54">
        <v>8.0000000000000004E-4</v>
      </c>
      <c r="I54">
        <v>1.38E-2</v>
      </c>
      <c r="J54">
        <v>1E-4</v>
      </c>
      <c r="K54">
        <v>5.5999999999999999E-3</v>
      </c>
      <c r="L54">
        <v>3.0999999999999999E-3</v>
      </c>
      <c r="M54">
        <v>3.0999999999999999E-3</v>
      </c>
      <c r="N54">
        <v>4.0000000000000002E-4</v>
      </c>
      <c r="O54">
        <v>3.2000000000000002E-3</v>
      </c>
      <c r="P54">
        <v>1.72E-2</v>
      </c>
      <c r="Q54">
        <v>1E-4</v>
      </c>
      <c r="R54">
        <v>6.8999999999999999E-3</v>
      </c>
      <c r="S54">
        <v>4.1000000000000003E-3</v>
      </c>
      <c r="T54">
        <v>4.1000000000000003E-3</v>
      </c>
      <c r="U54">
        <v>5.0000000000000001E-4</v>
      </c>
      <c r="V54">
        <v>4.0000000000000001E-3</v>
      </c>
      <c r="W54" s="4" t="s">
        <v>132</v>
      </c>
      <c r="X54" s="4" t="s">
        <v>116</v>
      </c>
    </row>
    <row r="55" spans="1:24" x14ac:dyDescent="0.25">
      <c r="A55" s="4">
        <v>2104008420</v>
      </c>
      <c r="B55">
        <v>2.92E-2</v>
      </c>
      <c r="C55">
        <v>2.0000000000000001E-4</v>
      </c>
      <c r="D55">
        <v>1.18E-2</v>
      </c>
      <c r="E55">
        <v>8.6999999999999994E-3</v>
      </c>
      <c r="F55">
        <v>8.6999999999999994E-3</v>
      </c>
      <c r="G55">
        <v>8.9999999999999998E-4</v>
      </c>
      <c r="H55">
        <v>6.7000000000000002E-3</v>
      </c>
      <c r="I55">
        <v>0.1208</v>
      </c>
      <c r="J55">
        <v>8.9999999999999998E-4</v>
      </c>
      <c r="K55">
        <v>4.87E-2</v>
      </c>
      <c r="L55">
        <v>2.58E-2</v>
      </c>
      <c r="M55">
        <v>2.58E-2</v>
      </c>
      <c r="N55">
        <v>3.5999999999999999E-3</v>
      </c>
      <c r="O55">
        <v>2.7900000000000001E-2</v>
      </c>
      <c r="P55">
        <v>0.15</v>
      </c>
      <c r="Q55">
        <v>1.1000000000000001E-3</v>
      </c>
      <c r="R55">
        <v>6.0499999999999998E-2</v>
      </c>
      <c r="S55">
        <v>3.4500000000000003E-2</v>
      </c>
      <c r="T55">
        <v>3.4500000000000003E-2</v>
      </c>
      <c r="U55">
        <v>4.4999999999999997E-3</v>
      </c>
      <c r="V55">
        <v>3.4599999999999999E-2</v>
      </c>
      <c r="W55" s="4" t="s">
        <v>133</v>
      </c>
      <c r="X55" s="4" t="s">
        <v>116</v>
      </c>
    </row>
    <row r="56" spans="1:24" x14ac:dyDescent="0.25">
      <c r="A56" s="4">
        <v>2104008610</v>
      </c>
      <c r="B56">
        <v>4.5600000000000002E-2</v>
      </c>
      <c r="C56">
        <v>2.0000000000000001E-4</v>
      </c>
      <c r="D56">
        <v>1.1999999999999999E-3</v>
      </c>
      <c r="E56">
        <v>7.4000000000000003E-3</v>
      </c>
      <c r="F56">
        <v>7.4000000000000003E-3</v>
      </c>
      <c r="G56">
        <v>2.9999999999999997E-4</v>
      </c>
      <c r="H56">
        <v>3.4200000000000001E-2</v>
      </c>
      <c r="I56">
        <v>0.37740000000000001</v>
      </c>
      <c r="J56">
        <v>1.5E-3</v>
      </c>
      <c r="K56">
        <v>0.01</v>
      </c>
      <c r="L56">
        <v>2.8500000000000001E-2</v>
      </c>
      <c r="M56">
        <v>2.8500000000000001E-2</v>
      </c>
      <c r="N56">
        <v>1.6000000000000001E-3</v>
      </c>
      <c r="O56">
        <v>0.28289999999999998</v>
      </c>
      <c r="P56">
        <v>0.42299999999999999</v>
      </c>
      <c r="Q56">
        <v>1.6999999999999999E-3</v>
      </c>
      <c r="R56">
        <v>1.1299999999999999E-2</v>
      </c>
      <c r="S56">
        <v>3.5999999999999997E-2</v>
      </c>
      <c r="T56">
        <v>3.5999999999999997E-2</v>
      </c>
      <c r="U56">
        <v>1.9E-3</v>
      </c>
      <c r="V56">
        <v>0.317</v>
      </c>
      <c r="W56" s="4" t="s">
        <v>134</v>
      </c>
      <c r="X56" s="4" t="s">
        <v>116</v>
      </c>
    </row>
    <row r="58" spans="1:24" x14ac:dyDescent="0.25">
      <c r="B58" s="79">
        <f>SUMIFS(B39:B56,$X39:$X56,$X58)/B38</f>
        <v>0.99847469991378712</v>
      </c>
      <c r="C58" s="79">
        <f t="shared" ref="C58:V58" si="4">SUMIFS(C39:C56,$X39:$X56,$X58)/C38</f>
        <v>0.96739130434782628</v>
      </c>
      <c r="D58" s="79">
        <f t="shared" si="4"/>
        <v>0.31766124171187465</v>
      </c>
      <c r="E58" s="79">
        <f t="shared" si="4"/>
        <v>0.9816660023913909</v>
      </c>
      <c r="F58" s="79">
        <f t="shared" si="4"/>
        <v>0.9816660023913909</v>
      </c>
      <c r="G58" s="79">
        <f t="shared" si="4"/>
        <v>3.6665513663092349E-2</v>
      </c>
      <c r="H58" s="79">
        <f t="shared" si="4"/>
        <v>0.98735092157571391</v>
      </c>
      <c r="I58" s="79">
        <f t="shared" si="4"/>
        <v>0.99053845101978566</v>
      </c>
      <c r="J58" s="79">
        <f t="shared" si="4"/>
        <v>0.65969428801287211</v>
      </c>
      <c r="K58" s="79">
        <f t="shared" si="4"/>
        <v>0.12443154749014683</v>
      </c>
      <c r="L58" s="79">
        <f t="shared" si="4"/>
        <v>0.95978317887742626</v>
      </c>
      <c r="M58" s="79">
        <f t="shared" si="4"/>
        <v>0.95978317887742626</v>
      </c>
      <c r="N58" s="79">
        <f t="shared" si="4"/>
        <v>2.3448205856976091E-2</v>
      </c>
      <c r="O58" s="79">
        <f t="shared" si="4"/>
        <v>0.9857859634848426</v>
      </c>
      <c r="P58" s="79">
        <f t="shared" si="4"/>
        <v>0.99162948201745804</v>
      </c>
      <c r="Q58" s="79">
        <f t="shared" si="4"/>
        <v>0.68038922155688619</v>
      </c>
      <c r="R58" s="79">
        <f t="shared" si="4"/>
        <v>0.13746565379020523</v>
      </c>
      <c r="S58" s="79">
        <f t="shared" si="4"/>
        <v>0.9637940923429883</v>
      </c>
      <c r="T58" s="79">
        <f t="shared" si="4"/>
        <v>0.9637940923429883</v>
      </c>
      <c r="U58" s="79">
        <f t="shared" si="4"/>
        <v>2.5227936620341684E-2</v>
      </c>
      <c r="V58" s="79">
        <f t="shared" si="4"/>
        <v>0.98583974795443774</v>
      </c>
      <c r="X58" s="4" t="s">
        <v>116</v>
      </c>
    </row>
    <row r="59" spans="1:24" x14ac:dyDescent="0.25">
      <c r="B59" s="79">
        <f>SUMIFS(B39:B56,$X39:$X56,$X59)/B38</f>
        <v>1.458982691159891E-3</v>
      </c>
      <c r="C59" s="79">
        <f t="shared" ref="C59:V59" si="5">SUMIFS(C39:C56,$X39:$X56,$X59)/C38</f>
        <v>2.1739130434782612E-2</v>
      </c>
      <c r="D59" s="79">
        <f t="shared" si="5"/>
        <v>0.68173598553345394</v>
      </c>
      <c r="E59" s="79">
        <f t="shared" si="5"/>
        <v>1.793543244320446E-2</v>
      </c>
      <c r="F59" s="79">
        <f t="shared" si="5"/>
        <v>1.793543244320446E-2</v>
      </c>
      <c r="G59" s="79">
        <f t="shared" si="5"/>
        <v>0.96333448633690766</v>
      </c>
      <c r="H59" s="79">
        <f t="shared" si="5"/>
        <v>1.2649078424286231E-2</v>
      </c>
      <c r="I59" s="79">
        <f t="shared" si="5"/>
        <v>3.3659762909045011E-3</v>
      </c>
      <c r="J59" s="79">
        <f t="shared" si="5"/>
        <v>2.8157683024939664E-2</v>
      </c>
      <c r="K59" s="79">
        <f t="shared" si="5"/>
        <v>0.78063146953094553</v>
      </c>
      <c r="L59" s="79">
        <f t="shared" si="5"/>
        <v>2.5354082881622664E-2</v>
      </c>
      <c r="M59" s="79">
        <f t="shared" si="5"/>
        <v>2.5354082881622664E-2</v>
      </c>
      <c r="N59" s="79">
        <f t="shared" si="5"/>
        <v>0.96579201136882709</v>
      </c>
      <c r="O59" s="79">
        <f t="shared" si="5"/>
        <v>1.256210165563322E-2</v>
      </c>
      <c r="P59" s="79">
        <f t="shared" si="5"/>
        <v>3.1048992950426018E-3</v>
      </c>
      <c r="Q59" s="79">
        <f t="shared" si="5"/>
        <v>2.7694610778443117E-2</v>
      </c>
      <c r="R59" s="79">
        <f t="shared" si="5"/>
        <v>0.77400193955067076</v>
      </c>
      <c r="S59" s="79">
        <f t="shared" si="5"/>
        <v>2.4017780326928594E-2</v>
      </c>
      <c r="T59" s="79">
        <f t="shared" si="5"/>
        <v>2.4017780326928594E-2</v>
      </c>
      <c r="U59" s="79">
        <f t="shared" si="5"/>
        <v>0.96543330087633883</v>
      </c>
      <c r="V59" s="79">
        <f t="shared" si="5"/>
        <v>1.2579197008690032E-2</v>
      </c>
      <c r="X59" s="4" t="s">
        <v>115</v>
      </c>
    </row>
    <row r="60" spans="1:24" x14ac:dyDescent="0.25">
      <c r="B60" s="79">
        <f>SUMIFS(B39:B56,$X39:$X56,$X60)/B38</f>
        <v>9.9476092579083499E-5</v>
      </c>
      <c r="C60" s="79">
        <f t="shared" ref="C60:V60" si="6">SUMIFS(C39:C56,$X39:$X56,$X60)/C38</f>
        <v>0</v>
      </c>
      <c r="D60" s="79">
        <f t="shared" si="6"/>
        <v>0</v>
      </c>
      <c r="E60" s="79">
        <f t="shared" si="6"/>
        <v>0</v>
      </c>
      <c r="F60" s="79">
        <f t="shared" si="6"/>
        <v>0</v>
      </c>
      <c r="G60" s="79">
        <f t="shared" si="6"/>
        <v>0</v>
      </c>
      <c r="H60" s="79">
        <f t="shared" si="6"/>
        <v>0</v>
      </c>
      <c r="I60" s="79">
        <f t="shared" si="6"/>
        <v>1.7092848352249419E-3</v>
      </c>
      <c r="J60" s="79">
        <f t="shared" si="6"/>
        <v>2.4135156878519709E-3</v>
      </c>
      <c r="K60" s="79">
        <f t="shared" si="6"/>
        <v>5.1972800900861884E-4</v>
      </c>
      <c r="L60" s="79">
        <f t="shared" si="6"/>
        <v>8.7427872005595392E-4</v>
      </c>
      <c r="M60" s="79">
        <f t="shared" si="6"/>
        <v>8.7427872005595392E-4</v>
      </c>
      <c r="N60" s="79">
        <f t="shared" si="6"/>
        <v>6.597980003045221E-4</v>
      </c>
      <c r="O60" s="79">
        <f t="shared" si="6"/>
        <v>3.0819680214998088E-4</v>
      </c>
      <c r="P60" s="79">
        <f t="shared" si="6"/>
        <v>1.4934384036096725E-3</v>
      </c>
      <c r="Q60" s="79">
        <f t="shared" si="6"/>
        <v>2.2455089820359281E-3</v>
      </c>
      <c r="R60" s="79">
        <f t="shared" si="6"/>
        <v>4.8488766769031843E-4</v>
      </c>
      <c r="S60" s="79">
        <f t="shared" si="6"/>
        <v>7.169486664754804E-4</v>
      </c>
      <c r="T60" s="79">
        <f t="shared" si="6"/>
        <v>7.169486664754804E-4</v>
      </c>
      <c r="U60" s="79">
        <f t="shared" si="6"/>
        <v>6.1963353102593608E-4</v>
      </c>
      <c r="V60" s="79">
        <f t="shared" si="6"/>
        <v>2.8851369285986313E-4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4.3757691781758506E-3</v>
      </c>
      <c r="J61" s="79">
        <f t="shared" si="7"/>
        <v>0.30973451327433632</v>
      </c>
      <c r="K61" s="79">
        <f t="shared" si="7"/>
        <v>9.4330633635064332E-2</v>
      </c>
      <c r="L61" s="79">
        <f t="shared" si="7"/>
        <v>1.4163315264906452E-2</v>
      </c>
      <c r="M61" s="79">
        <f t="shared" si="7"/>
        <v>1.4163315264906452E-2</v>
      </c>
      <c r="N61" s="79">
        <f t="shared" si="7"/>
        <v>9.998477389230067E-3</v>
      </c>
      <c r="O61" s="79">
        <f t="shared" si="7"/>
        <v>1.368393801545915E-3</v>
      </c>
      <c r="P61" s="79">
        <f t="shared" si="7"/>
        <v>3.7767196103442174E-3</v>
      </c>
      <c r="Q61" s="79">
        <f t="shared" si="7"/>
        <v>0.28817365269461076</v>
      </c>
      <c r="R61" s="79">
        <f t="shared" si="7"/>
        <v>8.8007111685792797E-2</v>
      </c>
      <c r="S61" s="79">
        <f t="shared" si="7"/>
        <v>1.161456839690278E-2</v>
      </c>
      <c r="T61" s="79">
        <f t="shared" si="7"/>
        <v>1.161456839690278E-2</v>
      </c>
      <c r="U61" s="79">
        <f t="shared" si="7"/>
        <v>8.71912897229353E-3</v>
      </c>
      <c r="V61" s="79">
        <f t="shared" si="7"/>
        <v>1.2810007962977923E-3</v>
      </c>
      <c r="X61" s="4" t="s">
        <v>113</v>
      </c>
    </row>
    <row r="64" spans="1:24" x14ac:dyDescent="0.25">
      <c r="A64" t="s">
        <v>313</v>
      </c>
    </row>
    <row r="65" spans="1:24" x14ac:dyDescent="0.25">
      <c r="A65" s="77" t="s">
        <v>209</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3.0158</v>
      </c>
      <c r="C69">
        <v>9.1999999999999998E-3</v>
      </c>
      <c r="D69">
        <v>0.16589999999999999</v>
      </c>
      <c r="E69">
        <v>0.25090000000000001</v>
      </c>
      <c r="F69">
        <v>0.25090000000000001</v>
      </c>
      <c r="G69">
        <v>0.28910000000000002</v>
      </c>
      <c r="H69">
        <v>0.5534</v>
      </c>
      <c r="I69">
        <v>19.0138</v>
      </c>
      <c r="J69" s="78">
        <v>0.12429999999999999</v>
      </c>
      <c r="K69" s="78">
        <v>2.3089</v>
      </c>
      <c r="L69">
        <v>1.1437999999999999</v>
      </c>
      <c r="M69" s="82">
        <v>1.1437999999999999</v>
      </c>
      <c r="N69" s="78">
        <v>1.9702999999999999</v>
      </c>
      <c r="O69" s="78">
        <v>8.1117000000000008</v>
      </c>
      <c r="P69">
        <v>22.029699999999998</v>
      </c>
      <c r="Q69" s="78">
        <v>0.1336</v>
      </c>
      <c r="R69" s="78">
        <v>2.4748000000000001</v>
      </c>
      <c r="S69">
        <v>1.3948</v>
      </c>
      <c r="T69" s="82">
        <v>1.3948</v>
      </c>
      <c r="U69" s="78">
        <v>2.2593999999999999</v>
      </c>
      <c r="V69" s="78">
        <v>8.6651000000000007</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6.8999999999999999E-3</v>
      </c>
      <c r="E72">
        <v>2.0000000000000001E-4</v>
      </c>
      <c r="F72">
        <v>2.0000000000000001E-4</v>
      </c>
      <c r="G72">
        <v>4.8999999999999998E-3</v>
      </c>
      <c r="H72">
        <v>2.9999999999999997E-4</v>
      </c>
      <c r="I72">
        <v>1.3100000000000001E-2</v>
      </c>
      <c r="J72">
        <v>6.9999999999999999E-4</v>
      </c>
      <c r="K72">
        <v>0.52700000000000002</v>
      </c>
      <c r="L72">
        <v>7.4000000000000003E-3</v>
      </c>
      <c r="M72">
        <v>7.4000000000000003E-3</v>
      </c>
      <c r="N72">
        <v>0.38329999999999997</v>
      </c>
      <c r="O72">
        <v>2.0899999999999998E-2</v>
      </c>
      <c r="P72">
        <v>1.3299999999999999E-2</v>
      </c>
      <c r="Q72">
        <v>6.9999999999999999E-4</v>
      </c>
      <c r="R72">
        <v>0.53390000000000004</v>
      </c>
      <c r="S72">
        <v>7.6E-3</v>
      </c>
      <c r="T72">
        <v>7.6E-3</v>
      </c>
      <c r="U72">
        <v>0.3881</v>
      </c>
      <c r="V72">
        <v>2.12E-2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2.8299999999999999E-2</v>
      </c>
      <c r="J75">
        <v>2.9999999999999997E-4</v>
      </c>
      <c r="K75">
        <v>1E-3</v>
      </c>
      <c r="L75">
        <v>6.9999999999999999E-4</v>
      </c>
      <c r="M75">
        <v>6.9999999999999999E-4</v>
      </c>
      <c r="N75">
        <v>1E-3</v>
      </c>
      <c r="O75">
        <v>2.2000000000000001E-3</v>
      </c>
      <c r="P75">
        <v>2.8400000000000002E-2</v>
      </c>
      <c r="Q75">
        <v>2.9999999999999997E-4</v>
      </c>
      <c r="R75">
        <v>1E-3</v>
      </c>
      <c r="S75">
        <v>6.9999999999999999E-4</v>
      </c>
      <c r="T75">
        <v>6.9999999999999999E-4</v>
      </c>
      <c r="U75">
        <v>1.1000000000000001E-3</v>
      </c>
      <c r="V75">
        <v>2.2000000000000001E-3</v>
      </c>
      <c r="W75" s="4" t="s">
        <v>122</v>
      </c>
      <c r="X75" s="4" t="s">
        <v>114</v>
      </c>
    </row>
    <row r="76" spans="1:24" x14ac:dyDescent="0.25">
      <c r="A76" s="4">
        <v>2104004000</v>
      </c>
      <c r="B76">
        <v>4.1999999999999997E-3</v>
      </c>
      <c r="C76">
        <v>2.0000000000000001E-4</v>
      </c>
      <c r="D76">
        <v>0.1062</v>
      </c>
      <c r="E76">
        <v>4.3E-3</v>
      </c>
      <c r="F76">
        <v>4.3E-3</v>
      </c>
      <c r="G76">
        <v>0.27360000000000001</v>
      </c>
      <c r="H76">
        <v>6.7000000000000002E-3</v>
      </c>
      <c r="I76">
        <v>5.0900000000000001E-2</v>
      </c>
      <c r="J76">
        <v>2.8E-3</v>
      </c>
      <c r="K76">
        <v>1.2754000000000001</v>
      </c>
      <c r="L76">
        <v>2.1600000000000001E-2</v>
      </c>
      <c r="M76">
        <v>2.1600000000000001E-2</v>
      </c>
      <c r="N76">
        <v>1.5196000000000001</v>
      </c>
      <c r="O76">
        <v>8.1000000000000003E-2</v>
      </c>
      <c r="P76">
        <v>5.5100000000000003E-2</v>
      </c>
      <c r="Q76">
        <v>3.0000000000000001E-3</v>
      </c>
      <c r="R76">
        <v>1.3815999999999999</v>
      </c>
      <c r="S76">
        <v>2.5899999999999999E-2</v>
      </c>
      <c r="T76">
        <v>2.5899999999999999E-2</v>
      </c>
      <c r="U76">
        <v>1.7931999999999999</v>
      </c>
      <c r="V76">
        <v>8.7800000000000003E-2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0.1106</v>
      </c>
      <c r="C78">
        <v>8.0000000000000004E-4</v>
      </c>
      <c r="D78">
        <v>1.1000000000000001E-3</v>
      </c>
      <c r="E78">
        <v>1.52E-2</v>
      </c>
      <c r="F78">
        <v>1.52E-2</v>
      </c>
      <c r="G78">
        <v>2.0000000000000001E-4</v>
      </c>
      <c r="H78">
        <v>0.1003</v>
      </c>
      <c r="I78">
        <v>6.6257000000000001</v>
      </c>
      <c r="J78">
        <v>4.7199999999999999E-2</v>
      </c>
      <c r="K78">
        <v>6.8199999999999997E-2</v>
      </c>
      <c r="L78">
        <v>0.42549999999999999</v>
      </c>
      <c r="M78">
        <v>0.42549999999999999</v>
      </c>
      <c r="N78">
        <v>6.3E-3</v>
      </c>
      <c r="O78">
        <v>6.0067000000000004</v>
      </c>
      <c r="P78">
        <v>6.7363999999999997</v>
      </c>
      <c r="Q78">
        <v>4.8000000000000001E-2</v>
      </c>
      <c r="R78">
        <v>6.93E-2</v>
      </c>
      <c r="S78">
        <v>0.44059999999999999</v>
      </c>
      <c r="T78">
        <v>0.44059999999999999</v>
      </c>
      <c r="U78">
        <v>6.4999999999999997E-3</v>
      </c>
      <c r="V78">
        <v>6.1070000000000002</v>
      </c>
      <c r="W78" s="4" t="s">
        <v>125</v>
      </c>
      <c r="X78" s="4" t="s">
        <v>116</v>
      </c>
    </row>
    <row r="79" spans="1:24" x14ac:dyDescent="0.25">
      <c r="A79" s="4">
        <v>2104008210</v>
      </c>
      <c r="B79">
        <v>5.8599999999999999E-2</v>
      </c>
      <c r="C79">
        <v>4.0000000000000002E-4</v>
      </c>
      <c r="D79">
        <v>6.9999999999999999E-4</v>
      </c>
      <c r="E79">
        <v>7.7999999999999996E-3</v>
      </c>
      <c r="F79">
        <v>7.7999999999999996E-3</v>
      </c>
      <c r="G79">
        <v>1E-4</v>
      </c>
      <c r="H79">
        <v>1.35E-2</v>
      </c>
      <c r="I79">
        <v>0.24279999999999999</v>
      </c>
      <c r="J79">
        <v>1.8E-3</v>
      </c>
      <c r="K79">
        <v>2.8999999999999998E-3</v>
      </c>
      <c r="L79">
        <v>1.4800000000000001E-2</v>
      </c>
      <c r="M79">
        <v>1.4800000000000001E-2</v>
      </c>
      <c r="N79">
        <v>2.0000000000000001E-4</v>
      </c>
      <c r="O79">
        <v>5.5800000000000002E-2</v>
      </c>
      <c r="P79">
        <v>0.3014</v>
      </c>
      <c r="Q79">
        <v>2.2000000000000001E-3</v>
      </c>
      <c r="R79">
        <v>3.7000000000000002E-3</v>
      </c>
      <c r="S79">
        <v>2.2599999999999999E-2</v>
      </c>
      <c r="T79">
        <v>2.2599999999999999E-2</v>
      </c>
      <c r="U79">
        <v>2.9999999999999997E-4</v>
      </c>
      <c r="V79">
        <v>6.9199999999999998E-2</v>
      </c>
      <c r="W79" s="4" t="s">
        <v>126</v>
      </c>
      <c r="X79" s="4" t="s">
        <v>116</v>
      </c>
    </row>
    <row r="80" spans="1:24" x14ac:dyDescent="0.25">
      <c r="A80" s="4">
        <v>2104008220</v>
      </c>
      <c r="B80">
        <v>0.1273</v>
      </c>
      <c r="C80">
        <v>8.0000000000000004E-4</v>
      </c>
      <c r="D80">
        <v>1.8E-3</v>
      </c>
      <c r="E80">
        <v>1.0800000000000001E-2</v>
      </c>
      <c r="F80">
        <v>1.0800000000000001E-2</v>
      </c>
      <c r="G80">
        <v>4.0000000000000002E-4</v>
      </c>
      <c r="H80">
        <v>1.0800000000000001E-2</v>
      </c>
      <c r="I80">
        <v>0.52749999999999997</v>
      </c>
      <c r="J80">
        <v>3.3999999999999998E-3</v>
      </c>
      <c r="K80">
        <v>7.4999999999999997E-3</v>
      </c>
      <c r="L80">
        <v>3.39E-2</v>
      </c>
      <c r="M80">
        <v>3.39E-2</v>
      </c>
      <c r="N80">
        <v>1.4E-3</v>
      </c>
      <c r="O80">
        <v>4.4999999999999998E-2</v>
      </c>
      <c r="P80">
        <v>0.65480000000000005</v>
      </c>
      <c r="Q80">
        <v>4.1999999999999997E-3</v>
      </c>
      <c r="R80">
        <v>9.2999999999999992E-3</v>
      </c>
      <c r="S80">
        <v>4.48E-2</v>
      </c>
      <c r="T80">
        <v>4.48E-2</v>
      </c>
      <c r="U80">
        <v>1.8E-3</v>
      </c>
      <c r="V80">
        <v>5.5800000000000002E-2</v>
      </c>
      <c r="W80" s="4" t="s">
        <v>127</v>
      </c>
      <c r="X80" s="4" t="s">
        <v>116</v>
      </c>
    </row>
    <row r="81" spans="1:24" x14ac:dyDescent="0.25">
      <c r="A81" s="4">
        <v>2104008230</v>
      </c>
      <c r="B81">
        <v>0.1406</v>
      </c>
      <c r="C81">
        <v>1.1999999999999999E-3</v>
      </c>
      <c r="D81">
        <v>2.5999999999999999E-3</v>
      </c>
      <c r="E81">
        <v>1.7100000000000001E-2</v>
      </c>
      <c r="F81">
        <v>1.7100000000000001E-2</v>
      </c>
      <c r="G81">
        <v>5.0000000000000001E-4</v>
      </c>
      <c r="H81">
        <v>1.9699999999999999E-2</v>
      </c>
      <c r="I81">
        <v>0.5827</v>
      </c>
      <c r="J81">
        <v>4.8999999999999998E-3</v>
      </c>
      <c r="K81">
        <v>1.09E-2</v>
      </c>
      <c r="L81">
        <v>4.9799999999999997E-2</v>
      </c>
      <c r="M81">
        <v>4.9799999999999997E-2</v>
      </c>
      <c r="N81">
        <v>2E-3</v>
      </c>
      <c r="O81">
        <v>8.1699999999999995E-2</v>
      </c>
      <c r="P81">
        <v>0.72330000000000005</v>
      </c>
      <c r="Q81">
        <v>6.1000000000000004E-3</v>
      </c>
      <c r="R81">
        <v>1.35E-2</v>
      </c>
      <c r="S81">
        <v>6.6900000000000001E-2</v>
      </c>
      <c r="T81">
        <v>6.6900000000000001E-2</v>
      </c>
      <c r="U81">
        <v>2.5999999999999999E-3</v>
      </c>
      <c r="V81">
        <v>0.1014</v>
      </c>
      <c r="W81" s="4" t="s">
        <v>128</v>
      </c>
      <c r="X81" s="4" t="s">
        <v>116</v>
      </c>
    </row>
    <row r="82" spans="1:24" x14ac:dyDescent="0.25">
      <c r="A82" s="4">
        <v>2104008310</v>
      </c>
      <c r="B82">
        <v>0.25169999999999998</v>
      </c>
      <c r="C82">
        <v>8.0000000000000004E-4</v>
      </c>
      <c r="D82">
        <v>3.0000000000000001E-3</v>
      </c>
      <c r="E82">
        <v>2.52E-2</v>
      </c>
      <c r="F82">
        <v>2.52E-2</v>
      </c>
      <c r="G82">
        <v>8.0000000000000004E-4</v>
      </c>
      <c r="H82">
        <v>0.1101</v>
      </c>
      <c r="I82">
        <v>1.0428999999999999</v>
      </c>
      <c r="J82">
        <v>3.3999999999999998E-3</v>
      </c>
      <c r="K82">
        <v>1.2500000000000001E-2</v>
      </c>
      <c r="L82">
        <v>4.8399999999999999E-2</v>
      </c>
      <c r="M82">
        <v>4.8399999999999999E-2</v>
      </c>
      <c r="N82">
        <v>2E-3</v>
      </c>
      <c r="O82">
        <v>0.45619999999999999</v>
      </c>
      <c r="P82">
        <v>1.2946</v>
      </c>
      <c r="Q82">
        <v>4.1999999999999997E-3</v>
      </c>
      <c r="R82">
        <v>1.55E-2</v>
      </c>
      <c r="S82">
        <v>7.3599999999999999E-2</v>
      </c>
      <c r="T82">
        <v>7.3599999999999999E-2</v>
      </c>
      <c r="U82">
        <v>2.8999999999999998E-3</v>
      </c>
      <c r="V82">
        <v>0.56620000000000004</v>
      </c>
      <c r="W82" s="4" t="s">
        <v>129</v>
      </c>
      <c r="X82" s="4" t="s">
        <v>116</v>
      </c>
    </row>
    <row r="83" spans="1:24" x14ac:dyDescent="0.25">
      <c r="A83" s="4">
        <v>2104008320</v>
      </c>
      <c r="B83">
        <v>0.91459999999999997</v>
      </c>
      <c r="C83">
        <v>1.8E-3</v>
      </c>
      <c r="D83">
        <v>1.1900000000000001E-2</v>
      </c>
      <c r="E83">
        <v>5.8599999999999999E-2</v>
      </c>
      <c r="F83">
        <v>5.8599999999999999E-2</v>
      </c>
      <c r="G83">
        <v>3.0000000000000001E-3</v>
      </c>
      <c r="H83">
        <v>8.8800000000000004E-2</v>
      </c>
      <c r="I83">
        <v>3.7898000000000001</v>
      </c>
      <c r="J83">
        <v>7.7000000000000002E-3</v>
      </c>
      <c r="K83">
        <v>4.9299999999999997E-2</v>
      </c>
      <c r="L83">
        <v>0.1817</v>
      </c>
      <c r="M83">
        <v>0.1817</v>
      </c>
      <c r="N83">
        <v>1.17E-2</v>
      </c>
      <c r="O83">
        <v>0.36780000000000002</v>
      </c>
      <c r="P83">
        <v>4.7043999999999997</v>
      </c>
      <c r="Q83">
        <v>9.4999999999999998E-3</v>
      </c>
      <c r="R83">
        <v>6.1199999999999997E-2</v>
      </c>
      <c r="S83">
        <v>0.24030000000000001</v>
      </c>
      <c r="T83">
        <v>0.24030000000000001</v>
      </c>
      <c r="U83">
        <v>1.47E-2</v>
      </c>
      <c r="V83">
        <v>0.45660000000000001</v>
      </c>
      <c r="W83" s="4" t="s">
        <v>130</v>
      </c>
      <c r="X83" s="4" t="s">
        <v>116</v>
      </c>
    </row>
    <row r="84" spans="1:24" x14ac:dyDescent="0.25">
      <c r="A84" s="4">
        <v>2104008330</v>
      </c>
      <c r="B84">
        <v>1.3293999999999999</v>
      </c>
      <c r="C84">
        <v>2.7000000000000001E-3</v>
      </c>
      <c r="D84">
        <v>1.7299999999999999E-2</v>
      </c>
      <c r="E84">
        <v>9.4500000000000001E-2</v>
      </c>
      <c r="F84">
        <v>9.4500000000000001E-2</v>
      </c>
      <c r="G84">
        <v>4.3E-3</v>
      </c>
      <c r="H84">
        <v>0.1613</v>
      </c>
      <c r="I84">
        <v>5.5087000000000002</v>
      </c>
      <c r="J84">
        <v>1.11E-2</v>
      </c>
      <c r="K84">
        <v>7.17E-2</v>
      </c>
      <c r="L84">
        <v>0.28599999999999998</v>
      </c>
      <c r="M84">
        <v>0.28599999999999998</v>
      </c>
      <c r="N84">
        <v>1.7000000000000001E-2</v>
      </c>
      <c r="O84">
        <v>0.66830000000000001</v>
      </c>
      <c r="P84">
        <v>6.8380999999999998</v>
      </c>
      <c r="Q84">
        <v>1.38E-2</v>
      </c>
      <c r="R84">
        <v>8.8999999999999996E-2</v>
      </c>
      <c r="S84">
        <v>0.38059999999999999</v>
      </c>
      <c r="T84">
        <v>0.38059999999999999</v>
      </c>
      <c r="U84">
        <v>2.1299999999999999E-2</v>
      </c>
      <c r="V84">
        <v>0.8296</v>
      </c>
      <c r="W84" s="4" t="s">
        <v>131</v>
      </c>
      <c r="X84" s="4" t="s">
        <v>116</v>
      </c>
    </row>
    <row r="85" spans="1:24" x14ac:dyDescent="0.25">
      <c r="A85" s="4">
        <v>2104008410</v>
      </c>
      <c r="B85">
        <v>3.3E-3</v>
      </c>
      <c r="C85">
        <v>0</v>
      </c>
      <c r="D85">
        <v>1.2999999999999999E-3</v>
      </c>
      <c r="E85">
        <v>1E-3</v>
      </c>
      <c r="F85">
        <v>1E-3</v>
      </c>
      <c r="G85">
        <v>1E-4</v>
      </c>
      <c r="H85">
        <v>8.0000000000000004E-4</v>
      </c>
      <c r="I85">
        <v>1.38E-2</v>
      </c>
      <c r="J85">
        <v>1E-4</v>
      </c>
      <c r="K85">
        <v>5.5999999999999999E-3</v>
      </c>
      <c r="L85">
        <v>3.0999999999999999E-3</v>
      </c>
      <c r="M85">
        <v>3.0999999999999999E-3</v>
      </c>
      <c r="N85">
        <v>4.0000000000000002E-4</v>
      </c>
      <c r="O85">
        <v>3.2000000000000002E-3</v>
      </c>
      <c r="P85">
        <v>1.72E-2</v>
      </c>
      <c r="Q85">
        <v>1E-4</v>
      </c>
      <c r="R85">
        <v>6.8999999999999999E-3</v>
      </c>
      <c r="S85">
        <v>4.1000000000000003E-3</v>
      </c>
      <c r="T85">
        <v>4.1000000000000003E-3</v>
      </c>
      <c r="U85">
        <v>5.0000000000000001E-4</v>
      </c>
      <c r="V85">
        <v>4.0000000000000001E-3</v>
      </c>
      <c r="W85" s="4" t="s">
        <v>132</v>
      </c>
      <c r="X85" s="4" t="s">
        <v>116</v>
      </c>
    </row>
    <row r="86" spans="1:24" x14ac:dyDescent="0.25">
      <c r="A86" s="4">
        <v>2104008420</v>
      </c>
      <c r="B86">
        <v>2.92E-2</v>
      </c>
      <c r="C86">
        <v>2.0000000000000001E-4</v>
      </c>
      <c r="D86">
        <v>1.18E-2</v>
      </c>
      <c r="E86">
        <v>8.6999999999999994E-3</v>
      </c>
      <c r="F86">
        <v>8.6999999999999994E-3</v>
      </c>
      <c r="G86">
        <v>8.9999999999999998E-4</v>
      </c>
      <c r="H86">
        <v>6.7000000000000002E-3</v>
      </c>
      <c r="I86">
        <v>0.1208</v>
      </c>
      <c r="J86">
        <v>8.9999999999999998E-4</v>
      </c>
      <c r="K86">
        <v>4.87E-2</v>
      </c>
      <c r="L86">
        <v>2.58E-2</v>
      </c>
      <c r="M86">
        <v>2.58E-2</v>
      </c>
      <c r="N86">
        <v>3.5999999999999999E-3</v>
      </c>
      <c r="O86">
        <v>2.7900000000000001E-2</v>
      </c>
      <c r="P86">
        <v>0.15</v>
      </c>
      <c r="Q86">
        <v>1.1000000000000001E-3</v>
      </c>
      <c r="R86">
        <v>6.0499999999999998E-2</v>
      </c>
      <c r="S86">
        <v>3.4500000000000003E-2</v>
      </c>
      <c r="T86">
        <v>3.4500000000000003E-2</v>
      </c>
      <c r="U86">
        <v>4.4999999999999997E-3</v>
      </c>
      <c r="V86">
        <v>3.4599999999999999E-2</v>
      </c>
      <c r="W86" s="4" t="s">
        <v>133</v>
      </c>
      <c r="X86" s="4" t="s">
        <v>116</v>
      </c>
    </row>
    <row r="87" spans="1:24" x14ac:dyDescent="0.25">
      <c r="A87" s="4">
        <v>2104008610</v>
      </c>
      <c r="B87">
        <v>4.5600000000000002E-2</v>
      </c>
      <c r="C87">
        <v>2.0000000000000001E-4</v>
      </c>
      <c r="D87">
        <v>1.1999999999999999E-3</v>
      </c>
      <c r="E87">
        <v>7.4000000000000003E-3</v>
      </c>
      <c r="F87">
        <v>7.4000000000000003E-3</v>
      </c>
      <c r="G87">
        <v>2.9999999999999997E-4</v>
      </c>
      <c r="H87">
        <v>3.4200000000000001E-2</v>
      </c>
      <c r="I87">
        <v>0.37740000000000001</v>
      </c>
      <c r="J87">
        <v>1.5E-3</v>
      </c>
      <c r="K87">
        <v>0.01</v>
      </c>
      <c r="L87">
        <v>2.8500000000000001E-2</v>
      </c>
      <c r="M87">
        <v>2.8500000000000001E-2</v>
      </c>
      <c r="N87">
        <v>1.6000000000000001E-3</v>
      </c>
      <c r="O87">
        <v>0.28289999999999998</v>
      </c>
      <c r="P87">
        <v>0.42299999999999999</v>
      </c>
      <c r="Q87">
        <v>1.6999999999999999E-3</v>
      </c>
      <c r="R87">
        <v>1.1299999999999999E-2</v>
      </c>
      <c r="S87">
        <v>3.5999999999999997E-2</v>
      </c>
      <c r="T87">
        <v>3.5999999999999997E-2</v>
      </c>
      <c r="U87">
        <v>1.9E-3</v>
      </c>
      <c r="V87">
        <v>0.317</v>
      </c>
      <c r="W87" s="4" t="s">
        <v>134</v>
      </c>
      <c r="X87" s="4" t="s">
        <v>116</v>
      </c>
    </row>
    <row r="89" spans="1:24" x14ac:dyDescent="0.25">
      <c r="B89" s="80">
        <f>SUMIFS(B70:B87,$X70:$X87,$X89)/B69</f>
        <v>0.99847469991378712</v>
      </c>
      <c r="C89" s="80">
        <f t="shared" ref="C89:V89" si="8">SUMIFS(C70:C87,$X70:$X87,$X89)/C69</f>
        <v>0.96739130434782628</v>
      </c>
      <c r="D89" s="80">
        <f t="shared" si="8"/>
        <v>0.31766124171187465</v>
      </c>
      <c r="E89" s="80">
        <f t="shared" si="8"/>
        <v>0.9816660023913909</v>
      </c>
      <c r="F89" s="80">
        <f t="shared" si="8"/>
        <v>0.9816660023913909</v>
      </c>
      <c r="G89" s="80">
        <f t="shared" si="8"/>
        <v>3.6665513663092349E-2</v>
      </c>
      <c r="H89" s="80">
        <f t="shared" si="8"/>
        <v>0.98735092157571391</v>
      </c>
      <c r="I89" s="80">
        <f t="shared" si="8"/>
        <v>0.99053845101978566</v>
      </c>
      <c r="J89" s="81">
        <f t="shared" si="8"/>
        <v>0.65969428801287211</v>
      </c>
      <c r="K89" s="81">
        <f t="shared" si="8"/>
        <v>0.12443154749014683</v>
      </c>
      <c r="L89" s="80">
        <f t="shared" si="8"/>
        <v>0.95978317887742626</v>
      </c>
      <c r="M89" s="81">
        <f t="shared" si="8"/>
        <v>0.95978317887742626</v>
      </c>
      <c r="N89" s="81">
        <f t="shared" si="8"/>
        <v>2.3448205856976091E-2</v>
      </c>
      <c r="O89" s="81">
        <f t="shared" si="8"/>
        <v>0.9857859634848426</v>
      </c>
      <c r="P89" s="80">
        <f t="shared" si="8"/>
        <v>0.99162948201745804</v>
      </c>
      <c r="Q89" s="81">
        <f t="shared" si="8"/>
        <v>0.68038922155688619</v>
      </c>
      <c r="R89" s="81">
        <f t="shared" si="8"/>
        <v>0.13746565379020523</v>
      </c>
      <c r="S89" s="80">
        <f t="shared" si="8"/>
        <v>0.9637940923429883</v>
      </c>
      <c r="T89" s="81">
        <f t="shared" si="8"/>
        <v>0.9637940923429883</v>
      </c>
      <c r="U89" s="81">
        <f t="shared" si="8"/>
        <v>2.5227936620341684E-2</v>
      </c>
      <c r="V89" s="81">
        <f t="shared" si="8"/>
        <v>0.98583974795443774</v>
      </c>
      <c r="X89" s="4" t="s">
        <v>116</v>
      </c>
    </row>
    <row r="90" spans="1:24" x14ac:dyDescent="0.25">
      <c r="B90" s="80">
        <f>SUMIFS(B70:B87,$X70:$X87,$X90)/B69</f>
        <v>1.458982691159891E-3</v>
      </c>
      <c r="C90" s="80">
        <f t="shared" ref="C90:V90" si="9">SUMIFS(C70:C87,$X70:$X87,$X90)/C69</f>
        <v>2.1739130434782612E-2</v>
      </c>
      <c r="D90" s="80">
        <f t="shared" si="9"/>
        <v>0.68173598553345394</v>
      </c>
      <c r="E90" s="80">
        <f t="shared" si="9"/>
        <v>1.793543244320446E-2</v>
      </c>
      <c r="F90" s="80">
        <f t="shared" si="9"/>
        <v>1.793543244320446E-2</v>
      </c>
      <c r="G90" s="80">
        <f t="shared" si="9"/>
        <v>0.96333448633690766</v>
      </c>
      <c r="H90" s="80">
        <f t="shared" si="9"/>
        <v>1.2649078424286231E-2</v>
      </c>
      <c r="I90" s="80">
        <f t="shared" si="9"/>
        <v>3.3659762909045011E-3</v>
      </c>
      <c r="J90" s="81">
        <f t="shared" si="9"/>
        <v>2.8157683024939664E-2</v>
      </c>
      <c r="K90" s="81">
        <f t="shared" si="9"/>
        <v>0.78063146953094553</v>
      </c>
      <c r="L90" s="80">
        <f t="shared" si="9"/>
        <v>2.5354082881622664E-2</v>
      </c>
      <c r="M90" s="81">
        <f t="shared" si="9"/>
        <v>2.5354082881622664E-2</v>
      </c>
      <c r="N90" s="81">
        <f t="shared" si="9"/>
        <v>0.96579201136882709</v>
      </c>
      <c r="O90" s="81">
        <f t="shared" si="9"/>
        <v>1.256210165563322E-2</v>
      </c>
      <c r="P90" s="80">
        <f t="shared" si="9"/>
        <v>3.1048992950426018E-3</v>
      </c>
      <c r="Q90" s="81">
        <f t="shared" si="9"/>
        <v>2.7694610778443117E-2</v>
      </c>
      <c r="R90" s="81">
        <f t="shared" si="9"/>
        <v>0.77400193955067076</v>
      </c>
      <c r="S90" s="80">
        <f t="shared" si="9"/>
        <v>2.4017780326928594E-2</v>
      </c>
      <c r="T90" s="81">
        <f t="shared" si="9"/>
        <v>2.4017780326928594E-2</v>
      </c>
      <c r="U90" s="81">
        <f t="shared" si="9"/>
        <v>0.96543330087633883</v>
      </c>
      <c r="V90" s="81">
        <f t="shared" si="9"/>
        <v>1.2579197008690032E-2</v>
      </c>
      <c r="X90" s="4" t="s">
        <v>115</v>
      </c>
    </row>
    <row r="91" spans="1:24" x14ac:dyDescent="0.25">
      <c r="B91" s="80">
        <f>SUMIFS(B70:B87,$X70:$X87,$X91)/B69</f>
        <v>9.9476092579083499E-5</v>
      </c>
      <c r="C91" s="80">
        <f t="shared" ref="C91:V91" si="10">SUMIFS(C70:C87,$X70:$X87,$X91)/C69</f>
        <v>0</v>
      </c>
      <c r="D91" s="80">
        <f t="shared" si="10"/>
        <v>0</v>
      </c>
      <c r="E91" s="80">
        <f t="shared" si="10"/>
        <v>0</v>
      </c>
      <c r="F91" s="80">
        <f t="shared" si="10"/>
        <v>0</v>
      </c>
      <c r="G91" s="80">
        <f t="shared" si="10"/>
        <v>0</v>
      </c>
      <c r="H91" s="80">
        <f t="shared" si="10"/>
        <v>0</v>
      </c>
      <c r="I91" s="80">
        <f t="shared" si="10"/>
        <v>1.7092848352249419E-3</v>
      </c>
      <c r="J91" s="81">
        <f t="shared" si="10"/>
        <v>2.4135156878519709E-3</v>
      </c>
      <c r="K91" s="81">
        <f t="shared" si="10"/>
        <v>5.1972800900861884E-4</v>
      </c>
      <c r="L91" s="80">
        <f t="shared" si="10"/>
        <v>8.7427872005595392E-4</v>
      </c>
      <c r="M91" s="81">
        <f t="shared" si="10"/>
        <v>8.7427872005595392E-4</v>
      </c>
      <c r="N91" s="81">
        <f t="shared" si="10"/>
        <v>6.597980003045221E-4</v>
      </c>
      <c r="O91" s="81">
        <f t="shared" si="10"/>
        <v>3.0819680214998088E-4</v>
      </c>
      <c r="P91" s="80">
        <f t="shared" si="10"/>
        <v>1.4934384036096725E-3</v>
      </c>
      <c r="Q91" s="81">
        <f t="shared" si="10"/>
        <v>2.2455089820359281E-3</v>
      </c>
      <c r="R91" s="81">
        <f t="shared" si="10"/>
        <v>4.8488766769031843E-4</v>
      </c>
      <c r="S91" s="80">
        <f t="shared" si="10"/>
        <v>7.169486664754804E-4</v>
      </c>
      <c r="T91" s="81">
        <f t="shared" si="10"/>
        <v>7.169486664754804E-4</v>
      </c>
      <c r="U91" s="81">
        <f t="shared" si="10"/>
        <v>6.1963353102593608E-4</v>
      </c>
      <c r="V91" s="81">
        <f t="shared" si="10"/>
        <v>2.8851369285986313E-4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4.3757691781758506E-3</v>
      </c>
      <c r="J92" s="81">
        <f t="shared" si="11"/>
        <v>0.30973451327433632</v>
      </c>
      <c r="K92" s="81">
        <f t="shared" si="11"/>
        <v>9.4330633635064332E-2</v>
      </c>
      <c r="L92" s="80">
        <f t="shared" si="11"/>
        <v>1.4163315264906452E-2</v>
      </c>
      <c r="M92" s="81">
        <f t="shared" si="11"/>
        <v>1.4163315264906452E-2</v>
      </c>
      <c r="N92" s="81">
        <f t="shared" si="11"/>
        <v>9.998477389230067E-3</v>
      </c>
      <c r="O92" s="81">
        <f t="shared" si="11"/>
        <v>1.368393801545915E-3</v>
      </c>
      <c r="P92" s="80">
        <f t="shared" si="11"/>
        <v>3.7767196103442174E-3</v>
      </c>
      <c r="Q92" s="81">
        <f t="shared" si="11"/>
        <v>0.28817365269461076</v>
      </c>
      <c r="R92" s="81">
        <f t="shared" si="11"/>
        <v>8.8007111685792797E-2</v>
      </c>
      <c r="S92" s="80">
        <f t="shared" si="11"/>
        <v>1.161456839690278E-2</v>
      </c>
      <c r="T92" s="81">
        <f t="shared" si="11"/>
        <v>1.161456839690278E-2</v>
      </c>
      <c r="U92" s="81">
        <f t="shared" si="11"/>
        <v>8.71912897229353E-3</v>
      </c>
      <c r="V92" s="81">
        <f t="shared" si="11"/>
        <v>1.2810007962977923E-3</v>
      </c>
      <c r="X92" s="4" t="s">
        <v>113</v>
      </c>
    </row>
  </sheetData>
  <sheetProtection algorithmName="SHA-512" hashValue="ipYt3gvIA3ke3gWgzJM9c4uACZGB/JptlCPnrZshNQp7mtekcZoiOFWJ/BQutXWCIbWqHp2kDITi6BSy8bEmFA==" saltValue="jqgiBbs3bM9fMRDwLtjYYg=="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D52D-00B2-424B-A61F-D1A6C4514F39}">
  <sheetPr codeName="Sheet28"/>
  <dimension ref="A2:X92"/>
  <sheetViews>
    <sheetView workbookViewId="0"/>
  </sheetViews>
  <sheetFormatPr defaultRowHeight="15" x14ac:dyDescent="0.25"/>
  <cols>
    <col min="1" max="1" width="13" customWidth="1"/>
    <col min="23" max="23" width="11.85546875" customWidth="1"/>
  </cols>
  <sheetData>
    <row r="2" spans="1:24" x14ac:dyDescent="0.25">
      <c r="A2" t="s">
        <v>314</v>
      </c>
    </row>
    <row r="3" spans="1:24" x14ac:dyDescent="0.25">
      <c r="A3" s="77" t="s">
        <v>210</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3.0007000000000001</v>
      </c>
      <c r="C7">
        <v>9.1999999999999998E-3</v>
      </c>
      <c r="D7">
        <v>0.16700000000000001</v>
      </c>
      <c r="E7">
        <v>0.24909999999999999</v>
      </c>
      <c r="F7">
        <v>0.24909999999999999</v>
      </c>
      <c r="G7">
        <v>0.29220000000000002</v>
      </c>
      <c r="H7">
        <v>0.54569999999999996</v>
      </c>
      <c r="I7">
        <v>18.9208</v>
      </c>
      <c r="J7">
        <v>0.12379999999999999</v>
      </c>
      <c r="K7">
        <v>2.3229000000000002</v>
      </c>
      <c r="L7">
        <v>1.9688000000000001</v>
      </c>
      <c r="M7">
        <v>1.9688000000000001</v>
      </c>
      <c r="N7">
        <v>3.7645</v>
      </c>
      <c r="O7">
        <v>8.0533000000000001</v>
      </c>
      <c r="P7">
        <v>21.921500000000002</v>
      </c>
      <c r="Q7">
        <v>0.13300000000000001</v>
      </c>
      <c r="R7">
        <v>2.4899</v>
      </c>
      <c r="S7">
        <v>2.2179000000000002</v>
      </c>
      <c r="T7">
        <v>2.2179000000000002</v>
      </c>
      <c r="U7">
        <v>4.0567000000000002</v>
      </c>
      <c r="V7">
        <v>8.5990000000000002</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6.8999999999999999E-3</v>
      </c>
      <c r="E10">
        <v>2.0000000000000001E-4</v>
      </c>
      <c r="F10">
        <v>2.0000000000000001E-4</v>
      </c>
      <c r="G10">
        <v>4.8999999999999998E-3</v>
      </c>
      <c r="H10">
        <v>2.9999999999999997E-4</v>
      </c>
      <c r="I10">
        <v>1.32E-2</v>
      </c>
      <c r="J10">
        <v>6.9999999999999999E-4</v>
      </c>
      <c r="K10">
        <v>0.53159999999999996</v>
      </c>
      <c r="L10">
        <v>1.35E-2</v>
      </c>
      <c r="M10">
        <v>1.35E-2</v>
      </c>
      <c r="N10">
        <v>0.37580000000000002</v>
      </c>
      <c r="O10">
        <v>2.1100000000000001E-2</v>
      </c>
      <c r="P10">
        <v>1.34E-2</v>
      </c>
      <c r="Q10">
        <v>6.9999999999999999E-4</v>
      </c>
      <c r="R10">
        <v>0.53849999999999998</v>
      </c>
      <c r="S10">
        <v>1.37E-2</v>
      </c>
      <c r="T10">
        <v>1.37E-2</v>
      </c>
      <c r="U10">
        <v>0.38069999999999998</v>
      </c>
      <c r="V10">
        <v>2.1299999999999999E-2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2.8500000000000001E-2</v>
      </c>
      <c r="J13">
        <v>2.9999999999999997E-4</v>
      </c>
      <c r="K13">
        <v>1E-3</v>
      </c>
      <c r="L13">
        <v>1.6999999999999999E-3</v>
      </c>
      <c r="M13">
        <v>1.6999999999999999E-3</v>
      </c>
      <c r="N13">
        <v>2E-3</v>
      </c>
      <c r="O13">
        <v>2.2000000000000001E-3</v>
      </c>
      <c r="P13">
        <v>2.86E-2</v>
      </c>
      <c r="Q13">
        <v>2.9999999999999997E-4</v>
      </c>
      <c r="R13">
        <v>1E-3</v>
      </c>
      <c r="S13">
        <v>1.6999999999999999E-3</v>
      </c>
      <c r="T13">
        <v>1.6999999999999999E-3</v>
      </c>
      <c r="U13">
        <v>2E-3</v>
      </c>
      <c r="V13">
        <v>2.2000000000000001E-3</v>
      </c>
      <c r="W13" s="4" t="s">
        <v>122</v>
      </c>
      <c r="X13" s="4" t="s">
        <v>114</v>
      </c>
    </row>
    <row r="14" spans="1:24" x14ac:dyDescent="0.25">
      <c r="A14" s="4">
        <v>2104004000</v>
      </c>
      <c r="B14">
        <v>4.3E-3</v>
      </c>
      <c r="C14">
        <v>2.0000000000000001E-4</v>
      </c>
      <c r="D14">
        <v>0.1074</v>
      </c>
      <c r="E14">
        <v>4.4000000000000003E-3</v>
      </c>
      <c r="F14">
        <v>4.4000000000000003E-3</v>
      </c>
      <c r="G14">
        <v>0.2767</v>
      </c>
      <c r="H14">
        <v>6.7999999999999996E-3</v>
      </c>
      <c r="I14">
        <v>5.1299999999999998E-2</v>
      </c>
      <c r="J14">
        <v>2.8E-3</v>
      </c>
      <c r="K14">
        <v>1.2862</v>
      </c>
      <c r="L14">
        <v>5.2299999999999999E-2</v>
      </c>
      <c r="M14">
        <v>5.2299999999999999E-2</v>
      </c>
      <c r="N14">
        <v>3.3119999999999998</v>
      </c>
      <c r="O14">
        <v>8.1699999999999995E-2</v>
      </c>
      <c r="P14">
        <v>5.5599999999999997E-2</v>
      </c>
      <c r="Q14">
        <v>3.0000000000000001E-3</v>
      </c>
      <c r="R14">
        <v>1.3935999999999999</v>
      </c>
      <c r="S14">
        <v>5.6599999999999998E-2</v>
      </c>
      <c r="T14">
        <v>5.6599999999999998E-2</v>
      </c>
      <c r="U14">
        <v>3.5888</v>
      </c>
      <c r="V14">
        <v>8.8499999999999995E-2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0.1101</v>
      </c>
      <c r="C16">
        <v>8.0000000000000004E-4</v>
      </c>
      <c r="D16">
        <v>1.1000000000000001E-3</v>
      </c>
      <c r="E16">
        <v>1.5100000000000001E-2</v>
      </c>
      <c r="F16">
        <v>1.5100000000000001E-2</v>
      </c>
      <c r="G16">
        <v>2.0000000000000001E-4</v>
      </c>
      <c r="H16">
        <v>9.98E-2</v>
      </c>
      <c r="I16">
        <v>6.5945</v>
      </c>
      <c r="J16">
        <v>4.7E-2</v>
      </c>
      <c r="K16">
        <v>6.7900000000000002E-2</v>
      </c>
      <c r="L16">
        <v>0.90329999999999999</v>
      </c>
      <c r="M16">
        <v>0.90329999999999999</v>
      </c>
      <c r="N16">
        <v>1.04E-2</v>
      </c>
      <c r="O16">
        <v>5.9783999999999997</v>
      </c>
      <c r="P16">
        <v>6.7046000000000001</v>
      </c>
      <c r="Q16">
        <v>4.7800000000000002E-2</v>
      </c>
      <c r="R16">
        <v>6.9000000000000006E-2</v>
      </c>
      <c r="S16">
        <v>0.91839999999999999</v>
      </c>
      <c r="T16">
        <v>0.91839999999999999</v>
      </c>
      <c r="U16">
        <v>1.06E-2</v>
      </c>
      <c r="V16">
        <v>6.0781999999999998</v>
      </c>
      <c r="W16" s="4" t="s">
        <v>125</v>
      </c>
      <c r="X16" s="4" t="s">
        <v>116</v>
      </c>
    </row>
    <row r="17" spans="1:24" x14ac:dyDescent="0.25">
      <c r="A17" s="4">
        <v>2104008210</v>
      </c>
      <c r="B17">
        <v>5.5E-2</v>
      </c>
      <c r="C17">
        <v>4.0000000000000002E-4</v>
      </c>
      <c r="D17">
        <v>6.9999999999999999E-4</v>
      </c>
      <c r="E17">
        <v>7.3000000000000001E-3</v>
      </c>
      <c r="F17">
        <v>7.3000000000000001E-3</v>
      </c>
      <c r="G17">
        <v>1E-4</v>
      </c>
      <c r="H17">
        <v>1.26E-2</v>
      </c>
      <c r="I17">
        <v>0.2278</v>
      </c>
      <c r="J17">
        <v>1.6999999999999999E-3</v>
      </c>
      <c r="K17">
        <v>2.8E-3</v>
      </c>
      <c r="L17">
        <v>3.0200000000000001E-2</v>
      </c>
      <c r="M17">
        <v>3.0200000000000001E-2</v>
      </c>
      <c r="N17">
        <v>4.0000000000000002E-4</v>
      </c>
      <c r="O17">
        <v>5.2299999999999999E-2</v>
      </c>
      <c r="P17">
        <v>0.2828</v>
      </c>
      <c r="Q17">
        <v>2.0999999999999999E-3</v>
      </c>
      <c r="R17">
        <v>3.3999999999999998E-3</v>
      </c>
      <c r="S17">
        <v>3.7499999999999999E-2</v>
      </c>
      <c r="T17">
        <v>3.7499999999999999E-2</v>
      </c>
      <c r="U17">
        <v>5.0000000000000001E-4</v>
      </c>
      <c r="V17">
        <v>6.4899999999999999E-2</v>
      </c>
      <c r="W17" s="4" t="s">
        <v>126</v>
      </c>
      <c r="X17" s="4" t="s">
        <v>116</v>
      </c>
    </row>
    <row r="18" spans="1:24" x14ac:dyDescent="0.25">
      <c r="A18" s="4">
        <v>2104008220</v>
      </c>
      <c r="B18">
        <v>0.1275</v>
      </c>
      <c r="C18">
        <v>8.0000000000000004E-4</v>
      </c>
      <c r="D18">
        <v>1.8E-3</v>
      </c>
      <c r="E18">
        <v>1.09E-2</v>
      </c>
      <c r="F18">
        <v>1.09E-2</v>
      </c>
      <c r="G18">
        <v>4.0000000000000002E-4</v>
      </c>
      <c r="H18">
        <v>1.09E-2</v>
      </c>
      <c r="I18">
        <v>0.52849999999999997</v>
      </c>
      <c r="J18">
        <v>3.3999999999999998E-3</v>
      </c>
      <c r="K18">
        <v>7.4999999999999997E-3</v>
      </c>
      <c r="L18">
        <v>4.4999999999999998E-2</v>
      </c>
      <c r="M18">
        <v>4.4999999999999998E-2</v>
      </c>
      <c r="N18">
        <v>1.5E-3</v>
      </c>
      <c r="O18">
        <v>4.4999999999999998E-2</v>
      </c>
      <c r="P18">
        <v>0.65600000000000003</v>
      </c>
      <c r="Q18">
        <v>4.1999999999999997E-3</v>
      </c>
      <c r="R18">
        <v>9.2999999999999992E-3</v>
      </c>
      <c r="S18">
        <v>5.5899999999999998E-2</v>
      </c>
      <c r="T18">
        <v>5.5899999999999998E-2</v>
      </c>
      <c r="U18">
        <v>1.9E-3</v>
      </c>
      <c r="V18">
        <v>5.5899999999999998E-2</v>
      </c>
      <c r="W18" s="4" t="s">
        <v>127</v>
      </c>
      <c r="X18" s="4" t="s">
        <v>116</v>
      </c>
    </row>
    <row r="19" spans="1:24" x14ac:dyDescent="0.25">
      <c r="A19" s="4">
        <v>2104008230</v>
      </c>
      <c r="B19">
        <v>0.1409</v>
      </c>
      <c r="C19">
        <v>1.1999999999999999E-3</v>
      </c>
      <c r="D19">
        <v>2.5999999999999999E-3</v>
      </c>
      <c r="E19">
        <v>1.7100000000000001E-2</v>
      </c>
      <c r="F19">
        <v>1.7100000000000001E-2</v>
      </c>
      <c r="G19">
        <v>5.0000000000000001E-4</v>
      </c>
      <c r="H19">
        <v>1.9699999999999999E-2</v>
      </c>
      <c r="I19">
        <v>0.58379999999999999</v>
      </c>
      <c r="J19">
        <v>4.8999999999999998E-3</v>
      </c>
      <c r="K19">
        <v>1.09E-2</v>
      </c>
      <c r="L19">
        <v>7.0900000000000005E-2</v>
      </c>
      <c r="M19">
        <v>7.0900000000000005E-2</v>
      </c>
      <c r="N19">
        <v>2.2000000000000001E-3</v>
      </c>
      <c r="O19">
        <v>8.1799999999999998E-2</v>
      </c>
      <c r="P19">
        <v>0.72460000000000002</v>
      </c>
      <c r="Q19">
        <v>6.1000000000000004E-3</v>
      </c>
      <c r="R19">
        <v>1.35E-2</v>
      </c>
      <c r="S19">
        <v>8.7999999999999995E-2</v>
      </c>
      <c r="T19">
        <v>8.7999999999999995E-2</v>
      </c>
      <c r="U19">
        <v>2.7000000000000001E-3</v>
      </c>
      <c r="V19">
        <v>0.1016</v>
      </c>
      <c r="W19" s="4" t="s">
        <v>128</v>
      </c>
      <c r="X19" s="4" t="s">
        <v>116</v>
      </c>
    </row>
    <row r="20" spans="1:24" x14ac:dyDescent="0.25">
      <c r="A20" s="4">
        <v>2104008310</v>
      </c>
      <c r="B20">
        <v>0.23619999999999999</v>
      </c>
      <c r="C20">
        <v>8.0000000000000004E-4</v>
      </c>
      <c r="D20">
        <v>2.8E-3</v>
      </c>
      <c r="E20">
        <v>2.3699999999999999E-2</v>
      </c>
      <c r="F20">
        <v>2.3699999999999999E-2</v>
      </c>
      <c r="G20">
        <v>8.0000000000000004E-4</v>
      </c>
      <c r="H20">
        <v>0.1033</v>
      </c>
      <c r="I20">
        <v>0.97860000000000003</v>
      </c>
      <c r="J20">
        <v>3.2000000000000002E-3</v>
      </c>
      <c r="K20">
        <v>1.17E-2</v>
      </c>
      <c r="L20">
        <v>9.8100000000000007E-2</v>
      </c>
      <c r="M20">
        <v>9.8100000000000007E-2</v>
      </c>
      <c r="N20">
        <v>3.2000000000000002E-3</v>
      </c>
      <c r="O20">
        <v>0.42799999999999999</v>
      </c>
      <c r="P20">
        <v>1.2148000000000001</v>
      </c>
      <c r="Q20">
        <v>4.0000000000000001E-3</v>
      </c>
      <c r="R20">
        <v>1.46E-2</v>
      </c>
      <c r="S20">
        <v>0.1217</v>
      </c>
      <c r="T20">
        <v>0.1217</v>
      </c>
      <c r="U20">
        <v>4.0000000000000001E-3</v>
      </c>
      <c r="V20">
        <v>0.53129999999999999</v>
      </c>
      <c r="W20" s="4" t="s">
        <v>129</v>
      </c>
      <c r="X20" s="4" t="s">
        <v>116</v>
      </c>
    </row>
    <row r="21" spans="1:24" x14ac:dyDescent="0.25">
      <c r="A21" s="4">
        <v>2104008320</v>
      </c>
      <c r="B21">
        <v>0.9163</v>
      </c>
      <c r="C21">
        <v>1.9E-3</v>
      </c>
      <c r="D21">
        <v>1.1900000000000001E-2</v>
      </c>
      <c r="E21">
        <v>5.8700000000000002E-2</v>
      </c>
      <c r="F21">
        <v>5.8700000000000002E-2</v>
      </c>
      <c r="G21">
        <v>3.0000000000000001E-3</v>
      </c>
      <c r="H21">
        <v>8.8900000000000007E-2</v>
      </c>
      <c r="I21">
        <v>3.7968000000000002</v>
      </c>
      <c r="J21">
        <v>7.7000000000000002E-3</v>
      </c>
      <c r="K21">
        <v>4.9399999999999999E-2</v>
      </c>
      <c r="L21">
        <v>0.24340000000000001</v>
      </c>
      <c r="M21">
        <v>0.24340000000000001</v>
      </c>
      <c r="N21">
        <v>1.23E-2</v>
      </c>
      <c r="O21">
        <v>0.36849999999999999</v>
      </c>
      <c r="P21">
        <v>4.7130999999999998</v>
      </c>
      <c r="Q21">
        <v>9.4999999999999998E-3</v>
      </c>
      <c r="R21">
        <v>6.13E-2</v>
      </c>
      <c r="S21">
        <v>0.30209999999999998</v>
      </c>
      <c r="T21">
        <v>0.30209999999999998</v>
      </c>
      <c r="U21">
        <v>1.52E-2</v>
      </c>
      <c r="V21">
        <v>0.45739999999999997</v>
      </c>
      <c r="W21" s="4" t="s">
        <v>130</v>
      </c>
      <c r="X21" s="4" t="s">
        <v>116</v>
      </c>
    </row>
    <row r="22" spans="1:24" x14ac:dyDescent="0.25">
      <c r="A22" s="4">
        <v>2104008330</v>
      </c>
      <c r="B22">
        <v>1.3319000000000001</v>
      </c>
      <c r="C22">
        <v>2.7000000000000001E-3</v>
      </c>
      <c r="D22">
        <v>1.7299999999999999E-2</v>
      </c>
      <c r="E22">
        <v>9.4700000000000006E-2</v>
      </c>
      <c r="F22">
        <v>9.4700000000000006E-2</v>
      </c>
      <c r="G22">
        <v>4.3E-3</v>
      </c>
      <c r="H22">
        <v>0.16159999999999999</v>
      </c>
      <c r="I22">
        <v>5.5187999999999997</v>
      </c>
      <c r="J22">
        <v>1.11E-2</v>
      </c>
      <c r="K22">
        <v>7.1800000000000003E-2</v>
      </c>
      <c r="L22">
        <v>0.39250000000000002</v>
      </c>
      <c r="M22">
        <v>0.39250000000000002</v>
      </c>
      <c r="N22">
        <v>1.7899999999999999E-2</v>
      </c>
      <c r="O22">
        <v>0.66949999999999998</v>
      </c>
      <c r="P22">
        <v>6.8506999999999998</v>
      </c>
      <c r="Q22">
        <v>1.38E-2</v>
      </c>
      <c r="R22">
        <v>8.9099999999999999E-2</v>
      </c>
      <c r="S22">
        <v>0.48720000000000002</v>
      </c>
      <c r="T22">
        <v>0.48720000000000002</v>
      </c>
      <c r="U22">
        <v>2.2200000000000001E-2</v>
      </c>
      <c r="V22">
        <v>0.83109999999999995</v>
      </c>
      <c r="W22" s="4" t="s">
        <v>131</v>
      </c>
      <c r="X22" s="4" t="s">
        <v>116</v>
      </c>
    </row>
    <row r="23" spans="1:24" x14ac:dyDescent="0.25">
      <c r="A23" s="4">
        <v>2104008410</v>
      </c>
      <c r="B23">
        <v>3.0999999999999999E-3</v>
      </c>
      <c r="C23">
        <v>0</v>
      </c>
      <c r="D23">
        <v>1.2999999999999999E-3</v>
      </c>
      <c r="E23">
        <v>8.9999999999999998E-4</v>
      </c>
      <c r="F23">
        <v>8.9999999999999998E-4</v>
      </c>
      <c r="G23">
        <v>1E-4</v>
      </c>
      <c r="H23">
        <v>6.9999999999999999E-4</v>
      </c>
      <c r="I23">
        <v>1.2999999999999999E-2</v>
      </c>
      <c r="J23">
        <v>1E-4</v>
      </c>
      <c r="K23">
        <v>5.1999999999999998E-3</v>
      </c>
      <c r="L23">
        <v>3.8999999999999998E-3</v>
      </c>
      <c r="M23">
        <v>3.8999999999999998E-3</v>
      </c>
      <c r="N23">
        <v>4.0000000000000002E-4</v>
      </c>
      <c r="O23">
        <v>3.0000000000000001E-3</v>
      </c>
      <c r="P23">
        <v>1.61E-2</v>
      </c>
      <c r="Q23">
        <v>1E-4</v>
      </c>
      <c r="R23">
        <v>6.4999999999999997E-3</v>
      </c>
      <c r="S23">
        <v>4.7999999999999996E-3</v>
      </c>
      <c r="T23">
        <v>4.7999999999999996E-3</v>
      </c>
      <c r="U23">
        <v>5.0000000000000001E-4</v>
      </c>
      <c r="V23">
        <v>3.7000000000000002E-3</v>
      </c>
      <c r="W23" s="4" t="s">
        <v>132</v>
      </c>
      <c r="X23" s="4" t="s">
        <v>116</v>
      </c>
    </row>
    <row r="24" spans="1:24" x14ac:dyDescent="0.25">
      <c r="A24" s="4">
        <v>2104008420</v>
      </c>
      <c r="B24">
        <v>2.92E-2</v>
      </c>
      <c r="C24">
        <v>2.0000000000000001E-4</v>
      </c>
      <c r="D24">
        <v>1.18E-2</v>
      </c>
      <c r="E24">
        <v>8.6999999999999994E-3</v>
      </c>
      <c r="F24">
        <v>8.6999999999999994E-3</v>
      </c>
      <c r="G24">
        <v>8.9999999999999998E-4</v>
      </c>
      <c r="H24">
        <v>6.7000000000000002E-3</v>
      </c>
      <c r="I24">
        <v>0.1211</v>
      </c>
      <c r="J24">
        <v>8.9999999999999998E-4</v>
      </c>
      <c r="K24">
        <v>4.8800000000000003E-2</v>
      </c>
      <c r="L24">
        <v>3.61E-2</v>
      </c>
      <c r="M24">
        <v>3.61E-2</v>
      </c>
      <c r="N24">
        <v>3.8999999999999998E-3</v>
      </c>
      <c r="O24">
        <v>2.7900000000000001E-2</v>
      </c>
      <c r="P24">
        <v>0.15029999999999999</v>
      </c>
      <c r="Q24">
        <v>1.1000000000000001E-3</v>
      </c>
      <c r="R24">
        <v>6.0600000000000001E-2</v>
      </c>
      <c r="S24">
        <v>4.48E-2</v>
      </c>
      <c r="T24">
        <v>4.48E-2</v>
      </c>
      <c r="U24">
        <v>4.7999999999999996E-3</v>
      </c>
      <c r="V24">
        <v>3.4700000000000002E-2</v>
      </c>
      <c r="W24" s="4" t="s">
        <v>133</v>
      </c>
      <c r="X24" s="4" t="s">
        <v>116</v>
      </c>
    </row>
    <row r="25" spans="1:24" x14ac:dyDescent="0.25">
      <c r="A25" s="4">
        <v>2104008610</v>
      </c>
      <c r="B25">
        <v>4.5400000000000003E-2</v>
      </c>
      <c r="C25">
        <v>2.0000000000000001E-4</v>
      </c>
      <c r="D25">
        <v>1.1999999999999999E-3</v>
      </c>
      <c r="E25">
        <v>7.4000000000000003E-3</v>
      </c>
      <c r="F25">
        <v>7.4000000000000003E-3</v>
      </c>
      <c r="G25">
        <v>2.9999999999999997E-4</v>
      </c>
      <c r="H25">
        <v>3.4000000000000002E-2</v>
      </c>
      <c r="I25">
        <v>0.37559999999999999</v>
      </c>
      <c r="J25">
        <v>1.5E-3</v>
      </c>
      <c r="K25">
        <v>0.01</v>
      </c>
      <c r="L25">
        <v>6.1199999999999997E-2</v>
      </c>
      <c r="M25">
        <v>6.1199999999999997E-2</v>
      </c>
      <c r="N25">
        <v>2.5000000000000001E-3</v>
      </c>
      <c r="O25">
        <v>0.28149999999999997</v>
      </c>
      <c r="P25">
        <v>0.42099999999999999</v>
      </c>
      <c r="Q25">
        <v>1.6999999999999999E-3</v>
      </c>
      <c r="R25">
        <v>1.12E-2</v>
      </c>
      <c r="S25">
        <v>6.8599999999999994E-2</v>
      </c>
      <c r="T25">
        <v>6.8599999999999994E-2</v>
      </c>
      <c r="U25">
        <v>2.8E-3</v>
      </c>
      <c r="V25">
        <v>0.3155</v>
      </c>
      <c r="W25" s="4" t="s">
        <v>134</v>
      </c>
      <c r="X25" s="4" t="s">
        <v>116</v>
      </c>
    </row>
    <row r="26" spans="1:24" x14ac:dyDescent="0.25">
      <c r="X26" s="4"/>
    </row>
    <row r="27" spans="1:24" x14ac:dyDescent="0.25">
      <c r="B27" s="79">
        <f>SUMIFS(B8:B25,$X8:$X25,$X27)/B7</f>
        <v>0.99840037324624242</v>
      </c>
      <c r="C27" s="79">
        <f t="shared" ref="C27:V27" si="0">SUMIFS(C8:C25,$X8:$X25,$X27)/C7</f>
        <v>0.97826086956521752</v>
      </c>
      <c r="D27" s="79">
        <f t="shared" si="0"/>
        <v>0.31437125748502992</v>
      </c>
      <c r="E27" s="79">
        <f t="shared" si="0"/>
        <v>0.98153352067442812</v>
      </c>
      <c r="F27" s="79">
        <f t="shared" si="0"/>
        <v>0.98153352067442812</v>
      </c>
      <c r="G27" s="79">
        <f t="shared" si="0"/>
        <v>3.6276522929500336E-2</v>
      </c>
      <c r="H27" s="79">
        <f t="shared" si="0"/>
        <v>0.98662268645776074</v>
      </c>
      <c r="I27" s="79">
        <f t="shared" si="0"/>
        <v>0.99046023423956697</v>
      </c>
      <c r="J27" s="79">
        <f t="shared" si="0"/>
        <v>0.65831987075928922</v>
      </c>
      <c r="K27" s="79">
        <f t="shared" si="0"/>
        <v>0.12312195961944122</v>
      </c>
      <c r="L27" s="79">
        <f t="shared" si="0"/>
        <v>0.95738520926452664</v>
      </c>
      <c r="M27" s="79">
        <f t="shared" si="0"/>
        <v>0.95738520926452664</v>
      </c>
      <c r="N27" s="79">
        <f t="shared" si="0"/>
        <v>1.4530482135741799E-2</v>
      </c>
      <c r="O27" s="79">
        <f t="shared" si="0"/>
        <v>0.98553388052102864</v>
      </c>
      <c r="P27" s="79">
        <f t="shared" si="0"/>
        <v>0.99154254955180998</v>
      </c>
      <c r="Q27" s="79">
        <f t="shared" si="0"/>
        <v>0.67969924812030069</v>
      </c>
      <c r="R27" s="79">
        <f t="shared" si="0"/>
        <v>0.13594923490903249</v>
      </c>
      <c r="S27" s="79">
        <f t="shared" si="0"/>
        <v>0.96005230172685851</v>
      </c>
      <c r="T27" s="79">
        <f t="shared" si="0"/>
        <v>0.96005230172685851</v>
      </c>
      <c r="U27" s="79">
        <f t="shared" si="0"/>
        <v>1.607217689254813E-2</v>
      </c>
      <c r="V27" s="79">
        <f t="shared" si="0"/>
        <v>0.98561460634957554</v>
      </c>
      <c r="X27" s="4" t="s">
        <v>116</v>
      </c>
    </row>
    <row r="28" spans="1:24" x14ac:dyDescent="0.25">
      <c r="B28" s="79">
        <f>SUMIFS(B8:B25,$X8:$X25,$X28)/B7</f>
        <v>1.4996500816476155E-3</v>
      </c>
      <c r="C28" s="79">
        <f t="shared" ref="C28:V28" si="1">SUMIFS(C8:C25,$X8:$X25,$X28)/C7</f>
        <v>2.1739130434782612E-2</v>
      </c>
      <c r="D28" s="79">
        <f t="shared" si="1"/>
        <v>0.68443113772455089</v>
      </c>
      <c r="E28" s="79">
        <f t="shared" si="1"/>
        <v>1.846647932557206E-2</v>
      </c>
      <c r="F28" s="79">
        <f t="shared" si="1"/>
        <v>1.846647932557206E-2</v>
      </c>
      <c r="G28" s="79">
        <f t="shared" si="1"/>
        <v>0.96372347707049966</v>
      </c>
      <c r="H28" s="79">
        <f t="shared" si="1"/>
        <v>1.3010811801356057E-2</v>
      </c>
      <c r="I28" s="79">
        <f t="shared" si="1"/>
        <v>3.408946767578538E-3</v>
      </c>
      <c r="J28" s="79">
        <f t="shared" si="1"/>
        <v>2.8271405492730214E-2</v>
      </c>
      <c r="K28" s="79">
        <f t="shared" si="1"/>
        <v>0.78255628739937144</v>
      </c>
      <c r="L28" s="79">
        <f t="shared" si="1"/>
        <v>3.3421373425436808E-2</v>
      </c>
      <c r="M28" s="79">
        <f t="shared" si="1"/>
        <v>3.3421373425436808E-2</v>
      </c>
      <c r="N28" s="79">
        <f t="shared" si="1"/>
        <v>0.97962544826670206</v>
      </c>
      <c r="O28" s="79">
        <f t="shared" si="1"/>
        <v>1.2764953497324079E-2</v>
      </c>
      <c r="P28" s="79">
        <f t="shared" si="1"/>
        <v>3.147594826996327E-3</v>
      </c>
      <c r="Q28" s="79">
        <f t="shared" si="1"/>
        <v>2.7819548872180452E-2</v>
      </c>
      <c r="R28" s="79">
        <f t="shared" si="1"/>
        <v>0.77597493875256029</v>
      </c>
      <c r="S28" s="79">
        <f t="shared" si="1"/>
        <v>3.1696649984219304E-2</v>
      </c>
      <c r="T28" s="79">
        <f t="shared" si="1"/>
        <v>3.1696649984219304E-2</v>
      </c>
      <c r="U28" s="79">
        <f t="shared" si="1"/>
        <v>0.97850469593511968</v>
      </c>
      <c r="V28" s="79">
        <f t="shared" si="1"/>
        <v>1.2768926619374345E-2</v>
      </c>
      <c r="X28" s="4" t="s">
        <v>115</v>
      </c>
    </row>
    <row r="29" spans="1:24" x14ac:dyDescent="0.25">
      <c r="B29" s="79">
        <f>SUMIFS(B8:B25,$X8:$X25,$X29)/B7</f>
        <v>9.9976672109841042E-5</v>
      </c>
      <c r="C29" s="79">
        <f t="shared" ref="C29:V29" si="2">SUMIFS(C8:C25,$X8:$X25,$X29)/C7</f>
        <v>0</v>
      </c>
      <c r="D29" s="79">
        <f t="shared" si="2"/>
        <v>0</v>
      </c>
      <c r="E29" s="79">
        <f t="shared" si="2"/>
        <v>0</v>
      </c>
      <c r="F29" s="79">
        <f t="shared" si="2"/>
        <v>0</v>
      </c>
      <c r="G29" s="79">
        <f t="shared" si="2"/>
        <v>0</v>
      </c>
      <c r="H29" s="79">
        <f t="shared" si="2"/>
        <v>0</v>
      </c>
      <c r="I29" s="79">
        <f t="shared" si="2"/>
        <v>1.7282567333305146E-3</v>
      </c>
      <c r="J29" s="79">
        <f t="shared" si="2"/>
        <v>2.4232633279483036E-3</v>
      </c>
      <c r="K29" s="79">
        <f t="shared" si="2"/>
        <v>5.165956347668862E-4</v>
      </c>
      <c r="L29" s="79">
        <f t="shared" si="2"/>
        <v>1.0158472165786266E-3</v>
      </c>
      <c r="M29" s="79">
        <f t="shared" si="2"/>
        <v>1.0158472165786266E-3</v>
      </c>
      <c r="N29" s="79">
        <f t="shared" si="2"/>
        <v>6.1097091247177583E-4</v>
      </c>
      <c r="O29" s="79">
        <f t="shared" si="2"/>
        <v>3.1043174847578012E-4</v>
      </c>
      <c r="P29" s="79">
        <f t="shared" si="2"/>
        <v>1.5099331706315716E-3</v>
      </c>
      <c r="Q29" s="79">
        <f t="shared" si="2"/>
        <v>2.2556390977443606E-3</v>
      </c>
      <c r="R29" s="79">
        <f t="shared" si="2"/>
        <v>4.8194706614723486E-4</v>
      </c>
      <c r="S29" s="79">
        <f t="shared" si="2"/>
        <v>9.0175391135759045E-4</v>
      </c>
      <c r="T29" s="79">
        <f t="shared" si="2"/>
        <v>9.0175391135759045E-4</v>
      </c>
      <c r="U29" s="79">
        <f t="shared" si="2"/>
        <v>5.6696329528927445E-4</v>
      </c>
      <c r="V29" s="79">
        <f t="shared" si="2"/>
        <v>2.9073148040469825E-4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4.3972770707369664E-3</v>
      </c>
      <c r="J30" s="79">
        <f t="shared" si="3"/>
        <v>0.31098546042003233</v>
      </c>
      <c r="K30" s="79">
        <f t="shared" si="3"/>
        <v>9.3762107710189849E-2</v>
      </c>
      <c r="L30" s="79">
        <f t="shared" si="3"/>
        <v>8.228362454286875E-3</v>
      </c>
      <c r="M30" s="79">
        <f t="shared" si="3"/>
        <v>8.228362454286875E-3</v>
      </c>
      <c r="N30" s="79">
        <f t="shared" si="3"/>
        <v>5.2330986850843402E-3</v>
      </c>
      <c r="O30" s="79">
        <f t="shared" si="3"/>
        <v>1.3783169632324637E-3</v>
      </c>
      <c r="P30" s="79">
        <f t="shared" si="3"/>
        <v>3.7953607189289049E-3</v>
      </c>
      <c r="Q30" s="79">
        <f t="shared" si="3"/>
        <v>0.28947368421052627</v>
      </c>
      <c r="R30" s="79">
        <f t="shared" si="3"/>
        <v>8.7473392505723127E-2</v>
      </c>
      <c r="S30" s="79">
        <f t="shared" si="3"/>
        <v>7.3042066819964824E-3</v>
      </c>
      <c r="T30" s="79">
        <f t="shared" si="3"/>
        <v>7.3042066819964824E-3</v>
      </c>
      <c r="U30" s="79">
        <f t="shared" si="3"/>
        <v>4.8561638770429159E-3</v>
      </c>
      <c r="V30" s="79">
        <f t="shared" si="3"/>
        <v>1.2908477729968602E-3</v>
      </c>
      <c r="X30" s="4" t="s">
        <v>113</v>
      </c>
    </row>
    <row r="33" spans="1:24" x14ac:dyDescent="0.25">
      <c r="A33" t="s">
        <v>315</v>
      </c>
    </row>
    <row r="34" spans="1:24" x14ac:dyDescent="0.25">
      <c r="A34" s="77" t="s">
        <v>211</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3.0007000000000001</v>
      </c>
      <c r="C38">
        <v>9.1999999999999998E-3</v>
      </c>
      <c r="D38">
        <v>0.16700000000000001</v>
      </c>
      <c r="E38">
        <v>0.24909999999999999</v>
      </c>
      <c r="F38">
        <v>0.24909999999999999</v>
      </c>
      <c r="G38">
        <v>0.29220000000000002</v>
      </c>
      <c r="H38">
        <v>0.54569999999999996</v>
      </c>
      <c r="I38">
        <v>18.9208</v>
      </c>
      <c r="J38">
        <v>0.12379999999999999</v>
      </c>
      <c r="K38">
        <v>2.3229000000000002</v>
      </c>
      <c r="L38">
        <v>0.93940000000000001</v>
      </c>
      <c r="M38">
        <v>0.93940000000000001</v>
      </c>
      <c r="N38">
        <v>1.9755</v>
      </c>
      <c r="O38">
        <v>8.0533000000000001</v>
      </c>
      <c r="P38">
        <v>21.921500000000002</v>
      </c>
      <c r="Q38">
        <v>0.13300000000000001</v>
      </c>
      <c r="R38">
        <v>2.4899</v>
      </c>
      <c r="S38">
        <v>1.1884999999999999</v>
      </c>
      <c r="T38">
        <v>1.1884999999999999</v>
      </c>
      <c r="U38">
        <v>2.2677</v>
      </c>
      <c r="V38">
        <v>8.5990000000000002</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6.8999999999999999E-3</v>
      </c>
      <c r="E41">
        <v>2.0000000000000001E-4</v>
      </c>
      <c r="F41">
        <v>2.0000000000000001E-4</v>
      </c>
      <c r="G41">
        <v>4.8999999999999998E-3</v>
      </c>
      <c r="H41">
        <v>2.9999999999999997E-4</v>
      </c>
      <c r="I41">
        <v>1.32E-2</v>
      </c>
      <c r="J41">
        <v>6.9999999999999999E-4</v>
      </c>
      <c r="K41">
        <v>0.53159999999999996</v>
      </c>
      <c r="L41">
        <v>7.4000000000000003E-3</v>
      </c>
      <c r="M41">
        <v>7.4000000000000003E-3</v>
      </c>
      <c r="N41">
        <v>0.3866</v>
      </c>
      <c r="O41">
        <v>2.1100000000000001E-2</v>
      </c>
      <c r="P41">
        <v>1.34E-2</v>
      </c>
      <c r="Q41">
        <v>6.9999999999999999E-4</v>
      </c>
      <c r="R41">
        <v>0.53849999999999998</v>
      </c>
      <c r="S41">
        <v>7.6E-3</v>
      </c>
      <c r="T41">
        <v>7.6E-3</v>
      </c>
      <c r="U41">
        <v>0.39150000000000001</v>
      </c>
      <c r="V41">
        <v>2.1299999999999999E-2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2.8500000000000001E-2</v>
      </c>
      <c r="J44">
        <v>2.9999999999999997E-4</v>
      </c>
      <c r="K44">
        <v>1E-3</v>
      </c>
      <c r="L44">
        <v>5.9999999999999995E-4</v>
      </c>
      <c r="M44">
        <v>5.9999999999999995E-4</v>
      </c>
      <c r="N44">
        <v>1E-3</v>
      </c>
      <c r="O44">
        <v>2.2000000000000001E-3</v>
      </c>
      <c r="P44">
        <v>2.86E-2</v>
      </c>
      <c r="Q44">
        <v>2.9999999999999997E-4</v>
      </c>
      <c r="R44">
        <v>1E-3</v>
      </c>
      <c r="S44">
        <v>5.9999999999999995E-4</v>
      </c>
      <c r="T44">
        <v>5.9999999999999995E-4</v>
      </c>
      <c r="U44">
        <v>1.1000000000000001E-3</v>
      </c>
      <c r="V44">
        <v>2.2000000000000001E-3</v>
      </c>
      <c r="W44" s="4" t="s">
        <v>122</v>
      </c>
      <c r="X44" s="4" t="s">
        <v>114</v>
      </c>
    </row>
    <row r="45" spans="1:24" x14ac:dyDescent="0.25">
      <c r="A45" s="4">
        <v>2104004000</v>
      </c>
      <c r="B45">
        <v>4.3E-3</v>
      </c>
      <c r="C45">
        <v>2.0000000000000001E-4</v>
      </c>
      <c r="D45">
        <v>0.1074</v>
      </c>
      <c r="E45">
        <v>4.4000000000000003E-3</v>
      </c>
      <c r="F45">
        <v>4.4000000000000003E-3</v>
      </c>
      <c r="G45">
        <v>0.2767</v>
      </c>
      <c r="H45">
        <v>6.7999999999999996E-3</v>
      </c>
      <c r="I45">
        <v>5.1299999999999998E-2</v>
      </c>
      <c r="J45">
        <v>2.8E-3</v>
      </c>
      <c r="K45">
        <v>1.2862</v>
      </c>
      <c r="L45">
        <v>1.7999999999999999E-2</v>
      </c>
      <c r="M45">
        <v>1.7999999999999999E-2</v>
      </c>
      <c r="N45">
        <v>1.5222</v>
      </c>
      <c r="O45">
        <v>8.1699999999999995E-2</v>
      </c>
      <c r="P45">
        <v>5.5599999999999997E-2</v>
      </c>
      <c r="Q45">
        <v>3.0000000000000001E-3</v>
      </c>
      <c r="R45">
        <v>1.3935999999999999</v>
      </c>
      <c r="S45">
        <v>2.24E-2</v>
      </c>
      <c r="T45">
        <v>2.24E-2</v>
      </c>
      <c r="U45">
        <v>1.7988999999999999</v>
      </c>
      <c r="V45">
        <v>8.8499999999999995E-2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0.1101</v>
      </c>
      <c r="C47">
        <v>8.0000000000000004E-4</v>
      </c>
      <c r="D47">
        <v>1.1000000000000001E-3</v>
      </c>
      <c r="E47">
        <v>1.5100000000000001E-2</v>
      </c>
      <c r="F47">
        <v>1.5100000000000001E-2</v>
      </c>
      <c r="G47">
        <v>2.0000000000000001E-4</v>
      </c>
      <c r="H47">
        <v>9.98E-2</v>
      </c>
      <c r="I47">
        <v>6.5945</v>
      </c>
      <c r="J47">
        <v>4.7E-2</v>
      </c>
      <c r="K47">
        <v>6.7900000000000002E-2</v>
      </c>
      <c r="L47">
        <v>0.34510000000000002</v>
      </c>
      <c r="M47">
        <v>0.34510000000000002</v>
      </c>
      <c r="N47">
        <v>6.1000000000000004E-3</v>
      </c>
      <c r="O47">
        <v>5.9783999999999997</v>
      </c>
      <c r="P47">
        <v>6.7046000000000001</v>
      </c>
      <c r="Q47">
        <v>4.7800000000000002E-2</v>
      </c>
      <c r="R47">
        <v>6.9000000000000006E-2</v>
      </c>
      <c r="S47">
        <v>0.36020000000000002</v>
      </c>
      <c r="T47">
        <v>0.36020000000000002</v>
      </c>
      <c r="U47">
        <v>6.3E-3</v>
      </c>
      <c r="V47">
        <v>6.0781999999999998</v>
      </c>
      <c r="W47" s="4" t="s">
        <v>125</v>
      </c>
      <c r="X47" s="4" t="s">
        <v>116</v>
      </c>
    </row>
    <row r="48" spans="1:24" x14ac:dyDescent="0.25">
      <c r="A48" s="4">
        <v>2104008210</v>
      </c>
      <c r="B48">
        <v>5.5E-2</v>
      </c>
      <c r="C48">
        <v>4.0000000000000002E-4</v>
      </c>
      <c r="D48">
        <v>6.9999999999999999E-4</v>
      </c>
      <c r="E48">
        <v>7.3000000000000001E-3</v>
      </c>
      <c r="F48">
        <v>7.3000000000000001E-3</v>
      </c>
      <c r="G48">
        <v>1E-4</v>
      </c>
      <c r="H48">
        <v>1.26E-2</v>
      </c>
      <c r="I48">
        <v>0.2278</v>
      </c>
      <c r="J48">
        <v>1.6999999999999999E-3</v>
      </c>
      <c r="K48">
        <v>2.8E-3</v>
      </c>
      <c r="L48">
        <v>1.1299999999999999E-2</v>
      </c>
      <c r="M48">
        <v>1.1299999999999999E-2</v>
      </c>
      <c r="N48">
        <v>2.0000000000000001E-4</v>
      </c>
      <c r="O48">
        <v>5.2299999999999999E-2</v>
      </c>
      <c r="P48">
        <v>0.2828</v>
      </c>
      <c r="Q48">
        <v>2.0999999999999999E-3</v>
      </c>
      <c r="R48">
        <v>3.3999999999999998E-3</v>
      </c>
      <c r="S48">
        <v>1.8599999999999998E-2</v>
      </c>
      <c r="T48">
        <v>1.8599999999999998E-2</v>
      </c>
      <c r="U48">
        <v>2.9999999999999997E-4</v>
      </c>
      <c r="V48">
        <v>6.4899999999999999E-2</v>
      </c>
      <c r="W48" s="4" t="s">
        <v>126</v>
      </c>
      <c r="X48" s="4" t="s">
        <v>116</v>
      </c>
    </row>
    <row r="49" spans="1:24" x14ac:dyDescent="0.25">
      <c r="A49" s="4">
        <v>2104008220</v>
      </c>
      <c r="B49">
        <v>0.1275</v>
      </c>
      <c r="C49">
        <v>8.0000000000000004E-4</v>
      </c>
      <c r="D49">
        <v>1.8E-3</v>
      </c>
      <c r="E49">
        <v>1.09E-2</v>
      </c>
      <c r="F49">
        <v>1.09E-2</v>
      </c>
      <c r="G49">
        <v>4.0000000000000002E-4</v>
      </c>
      <c r="H49">
        <v>1.09E-2</v>
      </c>
      <c r="I49">
        <v>0.52849999999999997</v>
      </c>
      <c r="J49">
        <v>3.3999999999999998E-3</v>
      </c>
      <c r="K49">
        <v>7.4999999999999997E-3</v>
      </c>
      <c r="L49">
        <v>2.8199999999999999E-2</v>
      </c>
      <c r="M49">
        <v>2.8199999999999999E-2</v>
      </c>
      <c r="N49">
        <v>1.4E-3</v>
      </c>
      <c r="O49">
        <v>4.4999999999999998E-2</v>
      </c>
      <c r="P49">
        <v>0.65600000000000003</v>
      </c>
      <c r="Q49">
        <v>4.1999999999999997E-3</v>
      </c>
      <c r="R49">
        <v>9.2999999999999992E-3</v>
      </c>
      <c r="S49">
        <v>3.9100000000000003E-2</v>
      </c>
      <c r="T49">
        <v>3.9100000000000003E-2</v>
      </c>
      <c r="U49">
        <v>1.8E-3</v>
      </c>
      <c r="V49">
        <v>5.5899999999999998E-2</v>
      </c>
      <c r="W49" s="4" t="s">
        <v>127</v>
      </c>
      <c r="X49" s="4" t="s">
        <v>116</v>
      </c>
    </row>
    <row r="50" spans="1:24" x14ac:dyDescent="0.25">
      <c r="A50" s="4">
        <v>2104008230</v>
      </c>
      <c r="B50">
        <v>0.1409</v>
      </c>
      <c r="C50">
        <v>1.1999999999999999E-3</v>
      </c>
      <c r="D50">
        <v>2.5999999999999999E-3</v>
      </c>
      <c r="E50">
        <v>1.7100000000000001E-2</v>
      </c>
      <c r="F50">
        <v>1.7100000000000001E-2</v>
      </c>
      <c r="G50">
        <v>5.0000000000000001E-4</v>
      </c>
      <c r="H50">
        <v>1.9699999999999999E-2</v>
      </c>
      <c r="I50">
        <v>0.58379999999999999</v>
      </c>
      <c r="J50">
        <v>4.8999999999999998E-3</v>
      </c>
      <c r="K50">
        <v>1.09E-2</v>
      </c>
      <c r="L50">
        <v>4.0800000000000003E-2</v>
      </c>
      <c r="M50">
        <v>4.0800000000000003E-2</v>
      </c>
      <c r="N50">
        <v>2E-3</v>
      </c>
      <c r="O50">
        <v>8.1799999999999998E-2</v>
      </c>
      <c r="P50">
        <v>0.72460000000000002</v>
      </c>
      <c r="Q50">
        <v>6.1000000000000004E-3</v>
      </c>
      <c r="R50">
        <v>1.35E-2</v>
      </c>
      <c r="S50">
        <v>5.8000000000000003E-2</v>
      </c>
      <c r="T50">
        <v>5.8000000000000003E-2</v>
      </c>
      <c r="U50">
        <v>2.5999999999999999E-3</v>
      </c>
      <c r="V50">
        <v>0.1016</v>
      </c>
      <c r="W50" s="4" t="s">
        <v>128</v>
      </c>
      <c r="X50" s="4" t="s">
        <v>116</v>
      </c>
    </row>
    <row r="51" spans="1:24" x14ac:dyDescent="0.25">
      <c r="A51" s="4">
        <v>2104008310</v>
      </c>
      <c r="B51">
        <v>0.23619999999999999</v>
      </c>
      <c r="C51">
        <v>8.0000000000000004E-4</v>
      </c>
      <c r="D51">
        <v>2.8E-3</v>
      </c>
      <c r="E51">
        <v>2.3699999999999999E-2</v>
      </c>
      <c r="F51">
        <v>2.3699999999999999E-2</v>
      </c>
      <c r="G51">
        <v>8.0000000000000004E-4</v>
      </c>
      <c r="H51">
        <v>0.1033</v>
      </c>
      <c r="I51">
        <v>0.97860000000000003</v>
      </c>
      <c r="J51">
        <v>3.2000000000000002E-3</v>
      </c>
      <c r="K51">
        <v>1.17E-2</v>
      </c>
      <c r="L51">
        <v>3.6900000000000002E-2</v>
      </c>
      <c r="M51">
        <v>3.6900000000000002E-2</v>
      </c>
      <c r="N51">
        <v>1.9E-3</v>
      </c>
      <c r="O51">
        <v>0.42799999999999999</v>
      </c>
      <c r="P51">
        <v>1.2148000000000001</v>
      </c>
      <c r="Q51">
        <v>4.0000000000000001E-3</v>
      </c>
      <c r="R51">
        <v>1.46E-2</v>
      </c>
      <c r="S51">
        <v>6.0600000000000001E-2</v>
      </c>
      <c r="T51">
        <v>6.0600000000000001E-2</v>
      </c>
      <c r="U51">
        <v>2.5999999999999999E-3</v>
      </c>
      <c r="V51">
        <v>0.53129999999999999</v>
      </c>
      <c r="W51" s="4" t="s">
        <v>129</v>
      </c>
      <c r="X51" s="4" t="s">
        <v>116</v>
      </c>
    </row>
    <row r="52" spans="1:24" x14ac:dyDescent="0.25">
      <c r="A52" s="4">
        <v>2104008320</v>
      </c>
      <c r="B52">
        <v>0.9163</v>
      </c>
      <c r="C52">
        <v>1.9E-3</v>
      </c>
      <c r="D52">
        <v>1.1900000000000001E-2</v>
      </c>
      <c r="E52">
        <v>5.8700000000000002E-2</v>
      </c>
      <c r="F52">
        <v>5.8700000000000002E-2</v>
      </c>
      <c r="G52">
        <v>3.0000000000000001E-3</v>
      </c>
      <c r="H52">
        <v>8.8900000000000007E-2</v>
      </c>
      <c r="I52">
        <v>3.7968000000000002</v>
      </c>
      <c r="J52">
        <v>7.7000000000000002E-3</v>
      </c>
      <c r="K52">
        <v>4.9399999999999999E-2</v>
      </c>
      <c r="L52">
        <v>0.151</v>
      </c>
      <c r="M52">
        <v>0.151</v>
      </c>
      <c r="N52">
        <v>1.17E-2</v>
      </c>
      <c r="O52">
        <v>0.36849999999999999</v>
      </c>
      <c r="P52">
        <v>4.7130999999999998</v>
      </c>
      <c r="Q52">
        <v>9.4999999999999998E-3</v>
      </c>
      <c r="R52">
        <v>6.13E-2</v>
      </c>
      <c r="S52">
        <v>0.2097</v>
      </c>
      <c r="T52">
        <v>0.2097</v>
      </c>
      <c r="U52">
        <v>1.46E-2</v>
      </c>
      <c r="V52">
        <v>0.45739999999999997</v>
      </c>
      <c r="W52" s="4" t="s">
        <v>130</v>
      </c>
      <c r="X52" s="4" t="s">
        <v>116</v>
      </c>
    </row>
    <row r="53" spans="1:24" x14ac:dyDescent="0.25">
      <c r="A53" s="4">
        <v>2104008330</v>
      </c>
      <c r="B53">
        <v>1.3319000000000001</v>
      </c>
      <c r="C53">
        <v>2.7000000000000001E-3</v>
      </c>
      <c r="D53">
        <v>1.7299999999999999E-2</v>
      </c>
      <c r="E53">
        <v>9.4700000000000006E-2</v>
      </c>
      <c r="F53">
        <v>9.4700000000000006E-2</v>
      </c>
      <c r="G53">
        <v>4.3E-3</v>
      </c>
      <c r="H53">
        <v>0.16159999999999999</v>
      </c>
      <c r="I53">
        <v>5.5187999999999997</v>
      </c>
      <c r="J53">
        <v>1.11E-2</v>
      </c>
      <c r="K53">
        <v>7.1800000000000003E-2</v>
      </c>
      <c r="L53">
        <v>0.2366</v>
      </c>
      <c r="M53">
        <v>0.2366</v>
      </c>
      <c r="N53">
        <v>1.7000000000000001E-2</v>
      </c>
      <c r="O53">
        <v>0.66949999999999998</v>
      </c>
      <c r="P53">
        <v>6.8506999999999998</v>
      </c>
      <c r="Q53">
        <v>1.38E-2</v>
      </c>
      <c r="R53">
        <v>8.9099999999999999E-2</v>
      </c>
      <c r="S53">
        <v>0.33139999999999997</v>
      </c>
      <c r="T53">
        <v>0.33139999999999997</v>
      </c>
      <c r="U53">
        <v>2.1299999999999999E-2</v>
      </c>
      <c r="V53">
        <v>0.83109999999999995</v>
      </c>
      <c r="W53" s="4" t="s">
        <v>131</v>
      </c>
      <c r="X53" s="4" t="s">
        <v>116</v>
      </c>
    </row>
    <row r="54" spans="1:24" x14ac:dyDescent="0.25">
      <c r="A54" s="4">
        <v>2104008410</v>
      </c>
      <c r="B54">
        <v>3.0999999999999999E-3</v>
      </c>
      <c r="C54">
        <v>0</v>
      </c>
      <c r="D54">
        <v>1.2999999999999999E-3</v>
      </c>
      <c r="E54">
        <v>8.9999999999999998E-4</v>
      </c>
      <c r="F54">
        <v>8.9999999999999998E-4</v>
      </c>
      <c r="G54">
        <v>1E-4</v>
      </c>
      <c r="H54">
        <v>6.9999999999999999E-4</v>
      </c>
      <c r="I54">
        <v>1.2999999999999999E-2</v>
      </c>
      <c r="J54">
        <v>1E-4</v>
      </c>
      <c r="K54">
        <v>5.1999999999999998E-3</v>
      </c>
      <c r="L54">
        <v>2.3999999999999998E-3</v>
      </c>
      <c r="M54">
        <v>2.3999999999999998E-3</v>
      </c>
      <c r="N54">
        <v>4.0000000000000002E-4</v>
      </c>
      <c r="O54">
        <v>3.0000000000000001E-3</v>
      </c>
      <c r="P54">
        <v>1.61E-2</v>
      </c>
      <c r="Q54">
        <v>1E-4</v>
      </c>
      <c r="R54">
        <v>6.4999999999999997E-3</v>
      </c>
      <c r="S54">
        <v>3.3E-3</v>
      </c>
      <c r="T54">
        <v>3.3E-3</v>
      </c>
      <c r="U54">
        <v>5.0000000000000001E-4</v>
      </c>
      <c r="V54">
        <v>3.7000000000000002E-3</v>
      </c>
      <c r="W54" s="4" t="s">
        <v>132</v>
      </c>
      <c r="X54" s="4" t="s">
        <v>116</v>
      </c>
    </row>
    <row r="55" spans="1:24" x14ac:dyDescent="0.25">
      <c r="A55" s="4">
        <v>2104008420</v>
      </c>
      <c r="B55">
        <v>2.92E-2</v>
      </c>
      <c r="C55">
        <v>2.0000000000000001E-4</v>
      </c>
      <c r="D55">
        <v>1.18E-2</v>
      </c>
      <c r="E55">
        <v>8.6999999999999994E-3</v>
      </c>
      <c r="F55">
        <v>8.6999999999999994E-3</v>
      </c>
      <c r="G55">
        <v>8.9999999999999998E-4</v>
      </c>
      <c r="H55">
        <v>6.7000000000000002E-3</v>
      </c>
      <c r="I55">
        <v>0.1211</v>
      </c>
      <c r="J55">
        <v>8.9999999999999998E-4</v>
      </c>
      <c r="K55">
        <v>4.8800000000000003E-2</v>
      </c>
      <c r="L55">
        <v>2.12E-2</v>
      </c>
      <c r="M55">
        <v>2.12E-2</v>
      </c>
      <c r="N55">
        <v>3.5000000000000001E-3</v>
      </c>
      <c r="O55">
        <v>2.7900000000000001E-2</v>
      </c>
      <c r="P55">
        <v>0.15029999999999999</v>
      </c>
      <c r="Q55">
        <v>1.1000000000000001E-3</v>
      </c>
      <c r="R55">
        <v>6.0600000000000001E-2</v>
      </c>
      <c r="S55">
        <v>2.9899999999999999E-2</v>
      </c>
      <c r="T55">
        <v>2.9899999999999999E-2</v>
      </c>
      <c r="U55">
        <v>4.4000000000000003E-3</v>
      </c>
      <c r="V55">
        <v>3.4700000000000002E-2</v>
      </c>
      <c r="W55" s="4" t="s">
        <v>133</v>
      </c>
      <c r="X55" s="4" t="s">
        <v>116</v>
      </c>
    </row>
    <row r="56" spans="1:24" x14ac:dyDescent="0.25">
      <c r="A56" s="4">
        <v>2104008610</v>
      </c>
      <c r="B56">
        <v>4.5400000000000003E-2</v>
      </c>
      <c r="C56">
        <v>2.0000000000000001E-4</v>
      </c>
      <c r="D56">
        <v>1.1999999999999999E-3</v>
      </c>
      <c r="E56">
        <v>7.4000000000000003E-3</v>
      </c>
      <c r="F56">
        <v>7.4000000000000003E-3</v>
      </c>
      <c r="G56">
        <v>2.9999999999999997E-4</v>
      </c>
      <c r="H56">
        <v>3.4000000000000002E-2</v>
      </c>
      <c r="I56">
        <v>0.37559999999999999</v>
      </c>
      <c r="J56">
        <v>1.5E-3</v>
      </c>
      <c r="K56">
        <v>0.01</v>
      </c>
      <c r="L56">
        <v>2.3099999999999999E-2</v>
      </c>
      <c r="M56">
        <v>2.3099999999999999E-2</v>
      </c>
      <c r="N56">
        <v>1.6000000000000001E-3</v>
      </c>
      <c r="O56">
        <v>0.28149999999999997</v>
      </c>
      <c r="P56">
        <v>0.42099999999999999</v>
      </c>
      <c r="Q56">
        <v>1.6999999999999999E-3</v>
      </c>
      <c r="R56">
        <v>1.12E-2</v>
      </c>
      <c r="S56">
        <v>3.0499999999999999E-2</v>
      </c>
      <c r="T56">
        <v>3.0499999999999999E-2</v>
      </c>
      <c r="U56">
        <v>1.9E-3</v>
      </c>
      <c r="V56">
        <v>0.3155</v>
      </c>
      <c r="W56" s="4" t="s">
        <v>134</v>
      </c>
      <c r="X56" s="4" t="s">
        <v>116</v>
      </c>
    </row>
    <row r="58" spans="1:24" x14ac:dyDescent="0.25">
      <c r="B58" s="79">
        <f>SUMIFS(B39:B56,$X39:$X56,$X58)/B38</f>
        <v>0.99840037324624242</v>
      </c>
      <c r="C58" s="79">
        <f t="shared" ref="C58:V58" si="4">SUMIFS(C39:C56,$X39:$X56,$X58)/C38</f>
        <v>0.97826086956521752</v>
      </c>
      <c r="D58" s="79">
        <f t="shared" si="4"/>
        <v>0.31437125748502992</v>
      </c>
      <c r="E58" s="79">
        <f t="shared" si="4"/>
        <v>0.98153352067442812</v>
      </c>
      <c r="F58" s="79">
        <f t="shared" si="4"/>
        <v>0.98153352067442812</v>
      </c>
      <c r="G58" s="79">
        <f t="shared" si="4"/>
        <v>3.6276522929500336E-2</v>
      </c>
      <c r="H58" s="79">
        <f t="shared" si="4"/>
        <v>0.98662268645776074</v>
      </c>
      <c r="I58" s="79">
        <f t="shared" si="4"/>
        <v>0.99046023423956697</v>
      </c>
      <c r="J58" s="79">
        <f t="shared" si="4"/>
        <v>0.65831987075928922</v>
      </c>
      <c r="K58" s="79">
        <f t="shared" si="4"/>
        <v>0.12312195961944122</v>
      </c>
      <c r="L58" s="79">
        <f t="shared" si="4"/>
        <v>0.95475835639770068</v>
      </c>
      <c r="M58" s="79">
        <f t="shared" si="4"/>
        <v>0.95475835639770068</v>
      </c>
      <c r="N58" s="79">
        <f t="shared" si="4"/>
        <v>2.3184004049607694E-2</v>
      </c>
      <c r="O58" s="79">
        <f t="shared" si="4"/>
        <v>0.98553388052102864</v>
      </c>
      <c r="P58" s="79">
        <f t="shared" si="4"/>
        <v>0.99154254955180998</v>
      </c>
      <c r="Q58" s="79">
        <f t="shared" si="4"/>
        <v>0.67969924812030069</v>
      </c>
      <c r="R58" s="79">
        <f t="shared" si="4"/>
        <v>0.13594923490903249</v>
      </c>
      <c r="S58" s="79">
        <f t="shared" si="4"/>
        <v>0.960538493899874</v>
      </c>
      <c r="T58" s="79">
        <f t="shared" si="4"/>
        <v>0.960538493899874</v>
      </c>
      <c r="U58" s="79">
        <f t="shared" si="4"/>
        <v>2.4826917140715263E-2</v>
      </c>
      <c r="V58" s="79">
        <f t="shared" si="4"/>
        <v>0.98561460634957554</v>
      </c>
      <c r="X58" s="4" t="s">
        <v>116</v>
      </c>
    </row>
    <row r="59" spans="1:24" x14ac:dyDescent="0.25">
      <c r="B59" s="79">
        <f>SUMIFS(B39:B56,$X39:$X56,$X59)/B38</f>
        <v>1.4996500816476155E-3</v>
      </c>
      <c r="C59" s="79">
        <f t="shared" ref="C59:V59" si="5">SUMIFS(C39:C56,$X39:$X56,$X59)/C38</f>
        <v>2.1739130434782612E-2</v>
      </c>
      <c r="D59" s="79">
        <f t="shared" si="5"/>
        <v>0.68443113772455089</v>
      </c>
      <c r="E59" s="79">
        <f t="shared" si="5"/>
        <v>1.846647932557206E-2</v>
      </c>
      <c r="F59" s="79">
        <f t="shared" si="5"/>
        <v>1.846647932557206E-2</v>
      </c>
      <c r="G59" s="79">
        <f t="shared" si="5"/>
        <v>0.96372347707049966</v>
      </c>
      <c r="H59" s="79">
        <f t="shared" si="5"/>
        <v>1.3010811801356057E-2</v>
      </c>
      <c r="I59" s="79">
        <f t="shared" si="5"/>
        <v>3.408946767578538E-3</v>
      </c>
      <c r="J59" s="79">
        <f t="shared" si="5"/>
        <v>2.8271405492730214E-2</v>
      </c>
      <c r="K59" s="79">
        <f t="shared" si="5"/>
        <v>0.78255628739937144</v>
      </c>
      <c r="L59" s="79">
        <f t="shared" si="5"/>
        <v>2.7038535235256546E-2</v>
      </c>
      <c r="M59" s="79">
        <f t="shared" si="5"/>
        <v>2.7038535235256546E-2</v>
      </c>
      <c r="N59" s="79">
        <f t="shared" si="5"/>
        <v>0.96623639584915211</v>
      </c>
      <c r="O59" s="79">
        <f t="shared" si="5"/>
        <v>1.2764953497324079E-2</v>
      </c>
      <c r="P59" s="79">
        <f t="shared" si="5"/>
        <v>3.147594826996327E-3</v>
      </c>
      <c r="Q59" s="79">
        <f t="shared" si="5"/>
        <v>2.7819548872180452E-2</v>
      </c>
      <c r="R59" s="79">
        <f t="shared" si="5"/>
        <v>0.77597493875256029</v>
      </c>
      <c r="S59" s="79">
        <f t="shared" si="5"/>
        <v>2.5241901556583932E-2</v>
      </c>
      <c r="T59" s="79">
        <f t="shared" si="5"/>
        <v>2.5241901556583932E-2</v>
      </c>
      <c r="U59" s="79">
        <f t="shared" si="5"/>
        <v>0.96591259866825407</v>
      </c>
      <c r="V59" s="79">
        <f t="shared" si="5"/>
        <v>1.2768926619374345E-2</v>
      </c>
      <c r="X59" s="4" t="s">
        <v>115</v>
      </c>
    </row>
    <row r="60" spans="1:24" x14ac:dyDescent="0.25">
      <c r="B60" s="79">
        <f>SUMIFS(B39:B56,$X39:$X56,$X60)/B38</f>
        <v>9.9976672109841042E-5</v>
      </c>
      <c r="C60" s="79">
        <f t="shared" ref="C60:V60" si="6">SUMIFS(C39:C56,$X39:$X56,$X60)/C38</f>
        <v>0</v>
      </c>
      <c r="D60" s="79">
        <f t="shared" si="6"/>
        <v>0</v>
      </c>
      <c r="E60" s="79">
        <f t="shared" si="6"/>
        <v>0</v>
      </c>
      <c r="F60" s="79">
        <f t="shared" si="6"/>
        <v>0</v>
      </c>
      <c r="G60" s="79">
        <f t="shared" si="6"/>
        <v>0</v>
      </c>
      <c r="H60" s="79">
        <f t="shared" si="6"/>
        <v>0</v>
      </c>
      <c r="I60" s="79">
        <f t="shared" si="6"/>
        <v>1.7282567333305146E-3</v>
      </c>
      <c r="J60" s="79">
        <f t="shared" si="6"/>
        <v>2.4232633279483036E-3</v>
      </c>
      <c r="K60" s="79">
        <f t="shared" si="6"/>
        <v>5.165956347668862E-4</v>
      </c>
      <c r="L60" s="79">
        <f t="shared" si="6"/>
        <v>9.5805833510751543E-4</v>
      </c>
      <c r="M60" s="79">
        <f t="shared" si="6"/>
        <v>9.5805833510751543E-4</v>
      </c>
      <c r="N60" s="79">
        <f t="shared" si="6"/>
        <v>6.5806125031637552E-4</v>
      </c>
      <c r="O60" s="79">
        <f t="shared" si="6"/>
        <v>3.1043174847578012E-4</v>
      </c>
      <c r="P60" s="79">
        <f t="shared" si="6"/>
        <v>1.5099331706315716E-3</v>
      </c>
      <c r="Q60" s="79">
        <f t="shared" si="6"/>
        <v>2.2556390977443606E-3</v>
      </c>
      <c r="R60" s="79">
        <f t="shared" si="6"/>
        <v>4.8194706614723486E-4</v>
      </c>
      <c r="S60" s="79">
        <f t="shared" si="6"/>
        <v>7.5725704669751793E-4</v>
      </c>
      <c r="T60" s="79">
        <f t="shared" si="6"/>
        <v>7.5725704669751793E-4</v>
      </c>
      <c r="U60" s="79">
        <f t="shared" si="6"/>
        <v>6.1736561273537062E-4</v>
      </c>
      <c r="V60" s="79">
        <f t="shared" si="6"/>
        <v>2.9073148040469825E-4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4.3972770707369664E-3</v>
      </c>
      <c r="J61" s="79">
        <f t="shared" si="7"/>
        <v>0.31098546042003233</v>
      </c>
      <c r="K61" s="79">
        <f t="shared" si="7"/>
        <v>9.3762107710189849E-2</v>
      </c>
      <c r="L61" s="79">
        <f t="shared" si="7"/>
        <v>1.7245050031935275E-2</v>
      </c>
      <c r="M61" s="79">
        <f t="shared" si="7"/>
        <v>1.7245050031935275E-2</v>
      </c>
      <c r="N61" s="79">
        <f t="shared" si="7"/>
        <v>9.9721589471019993E-3</v>
      </c>
      <c r="O61" s="79">
        <f t="shared" si="7"/>
        <v>1.3783169632324637E-3</v>
      </c>
      <c r="P61" s="79">
        <f t="shared" si="7"/>
        <v>3.7953607189289049E-3</v>
      </c>
      <c r="Q61" s="79">
        <f t="shared" si="7"/>
        <v>0.28947368421052627</v>
      </c>
      <c r="R61" s="79">
        <f t="shared" si="7"/>
        <v>8.7473392505723127E-2</v>
      </c>
      <c r="S61" s="79">
        <f t="shared" si="7"/>
        <v>1.3630626840555323E-2</v>
      </c>
      <c r="T61" s="79">
        <f t="shared" si="7"/>
        <v>1.3630626840555323E-2</v>
      </c>
      <c r="U61" s="79">
        <f t="shared" si="7"/>
        <v>8.6872161220620005E-3</v>
      </c>
      <c r="V61" s="79">
        <f t="shared" si="7"/>
        <v>1.2908477729968602E-3</v>
      </c>
      <c r="X61" s="4" t="s">
        <v>113</v>
      </c>
    </row>
    <row r="64" spans="1:24" x14ac:dyDescent="0.25">
      <c r="A64" t="s">
        <v>316</v>
      </c>
    </row>
    <row r="65" spans="1:24" x14ac:dyDescent="0.25">
      <c r="A65" s="77" t="s">
        <v>212</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3.0007000000000001</v>
      </c>
      <c r="C69">
        <v>9.1999999999999998E-3</v>
      </c>
      <c r="D69">
        <v>0.16700000000000001</v>
      </c>
      <c r="E69">
        <v>0.24909999999999999</v>
      </c>
      <c r="F69">
        <v>0.24909999999999999</v>
      </c>
      <c r="G69">
        <v>0.29220000000000002</v>
      </c>
      <c r="H69">
        <v>0.54569999999999996</v>
      </c>
      <c r="I69">
        <v>18.9208</v>
      </c>
      <c r="J69" s="78">
        <v>0.12379999999999999</v>
      </c>
      <c r="K69" s="78">
        <v>2.3229000000000002</v>
      </c>
      <c r="L69">
        <v>0.93940000000000001</v>
      </c>
      <c r="M69" s="82">
        <v>0.93940000000000001</v>
      </c>
      <c r="N69" s="78">
        <v>1.9755</v>
      </c>
      <c r="O69" s="78">
        <v>8.0533000000000001</v>
      </c>
      <c r="P69">
        <v>21.921500000000002</v>
      </c>
      <c r="Q69" s="78">
        <v>0.13300000000000001</v>
      </c>
      <c r="R69" s="78">
        <v>2.4899</v>
      </c>
      <c r="S69">
        <v>1.1884999999999999</v>
      </c>
      <c r="T69" s="82">
        <v>1.1884999999999999</v>
      </c>
      <c r="U69" s="78">
        <v>2.2677</v>
      </c>
      <c r="V69" s="78">
        <v>8.5990000000000002</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6.8999999999999999E-3</v>
      </c>
      <c r="E72">
        <v>2.0000000000000001E-4</v>
      </c>
      <c r="F72">
        <v>2.0000000000000001E-4</v>
      </c>
      <c r="G72">
        <v>4.8999999999999998E-3</v>
      </c>
      <c r="H72">
        <v>2.9999999999999997E-4</v>
      </c>
      <c r="I72">
        <v>1.32E-2</v>
      </c>
      <c r="J72">
        <v>6.9999999999999999E-4</v>
      </c>
      <c r="K72">
        <v>0.53159999999999996</v>
      </c>
      <c r="L72">
        <v>7.4000000000000003E-3</v>
      </c>
      <c r="M72">
        <v>7.4000000000000003E-3</v>
      </c>
      <c r="N72">
        <v>0.3866</v>
      </c>
      <c r="O72">
        <v>2.1100000000000001E-2</v>
      </c>
      <c r="P72">
        <v>1.34E-2</v>
      </c>
      <c r="Q72">
        <v>6.9999999999999999E-4</v>
      </c>
      <c r="R72">
        <v>0.53849999999999998</v>
      </c>
      <c r="S72">
        <v>7.6E-3</v>
      </c>
      <c r="T72">
        <v>7.6E-3</v>
      </c>
      <c r="U72">
        <v>0.39150000000000001</v>
      </c>
      <c r="V72">
        <v>2.1299999999999999E-2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2.8500000000000001E-2</v>
      </c>
      <c r="J75">
        <v>2.9999999999999997E-4</v>
      </c>
      <c r="K75">
        <v>1E-3</v>
      </c>
      <c r="L75">
        <v>5.9999999999999995E-4</v>
      </c>
      <c r="M75">
        <v>5.9999999999999995E-4</v>
      </c>
      <c r="N75">
        <v>1E-3</v>
      </c>
      <c r="O75">
        <v>2.2000000000000001E-3</v>
      </c>
      <c r="P75">
        <v>2.86E-2</v>
      </c>
      <c r="Q75">
        <v>2.9999999999999997E-4</v>
      </c>
      <c r="R75">
        <v>1E-3</v>
      </c>
      <c r="S75">
        <v>5.9999999999999995E-4</v>
      </c>
      <c r="T75">
        <v>5.9999999999999995E-4</v>
      </c>
      <c r="U75">
        <v>1.1000000000000001E-3</v>
      </c>
      <c r="V75">
        <v>2.2000000000000001E-3</v>
      </c>
      <c r="W75" s="4" t="s">
        <v>122</v>
      </c>
      <c r="X75" s="4" t="s">
        <v>114</v>
      </c>
    </row>
    <row r="76" spans="1:24" x14ac:dyDescent="0.25">
      <c r="A76" s="4">
        <v>2104004000</v>
      </c>
      <c r="B76">
        <v>4.3E-3</v>
      </c>
      <c r="C76">
        <v>2.0000000000000001E-4</v>
      </c>
      <c r="D76">
        <v>0.1074</v>
      </c>
      <c r="E76">
        <v>4.4000000000000003E-3</v>
      </c>
      <c r="F76">
        <v>4.4000000000000003E-3</v>
      </c>
      <c r="G76">
        <v>0.2767</v>
      </c>
      <c r="H76">
        <v>6.7999999999999996E-3</v>
      </c>
      <c r="I76">
        <v>5.1299999999999998E-2</v>
      </c>
      <c r="J76">
        <v>2.8E-3</v>
      </c>
      <c r="K76">
        <v>1.2862</v>
      </c>
      <c r="L76">
        <v>1.7999999999999999E-2</v>
      </c>
      <c r="M76">
        <v>1.7999999999999999E-2</v>
      </c>
      <c r="N76">
        <v>1.5222</v>
      </c>
      <c r="O76">
        <v>8.1699999999999995E-2</v>
      </c>
      <c r="P76">
        <v>5.5599999999999997E-2</v>
      </c>
      <c r="Q76">
        <v>3.0000000000000001E-3</v>
      </c>
      <c r="R76">
        <v>1.3935999999999999</v>
      </c>
      <c r="S76">
        <v>2.24E-2</v>
      </c>
      <c r="T76">
        <v>2.24E-2</v>
      </c>
      <c r="U76">
        <v>1.7988999999999999</v>
      </c>
      <c r="V76">
        <v>8.8499999999999995E-2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0.1101</v>
      </c>
      <c r="C78">
        <v>8.0000000000000004E-4</v>
      </c>
      <c r="D78">
        <v>1.1000000000000001E-3</v>
      </c>
      <c r="E78">
        <v>1.5100000000000001E-2</v>
      </c>
      <c r="F78">
        <v>1.5100000000000001E-2</v>
      </c>
      <c r="G78">
        <v>2.0000000000000001E-4</v>
      </c>
      <c r="H78">
        <v>9.98E-2</v>
      </c>
      <c r="I78">
        <v>6.5945</v>
      </c>
      <c r="J78">
        <v>4.7E-2</v>
      </c>
      <c r="K78">
        <v>6.7900000000000002E-2</v>
      </c>
      <c r="L78">
        <v>0.34510000000000002</v>
      </c>
      <c r="M78">
        <v>0.34510000000000002</v>
      </c>
      <c r="N78">
        <v>6.1000000000000004E-3</v>
      </c>
      <c r="O78">
        <v>5.9783999999999997</v>
      </c>
      <c r="P78">
        <v>6.7046000000000001</v>
      </c>
      <c r="Q78">
        <v>4.7800000000000002E-2</v>
      </c>
      <c r="R78">
        <v>6.9000000000000006E-2</v>
      </c>
      <c r="S78">
        <v>0.36020000000000002</v>
      </c>
      <c r="T78">
        <v>0.36020000000000002</v>
      </c>
      <c r="U78">
        <v>6.3E-3</v>
      </c>
      <c r="V78">
        <v>6.0781999999999998</v>
      </c>
      <c r="W78" s="4" t="s">
        <v>125</v>
      </c>
      <c r="X78" s="4" t="s">
        <v>116</v>
      </c>
    </row>
    <row r="79" spans="1:24" x14ac:dyDescent="0.25">
      <c r="A79" s="4">
        <v>2104008210</v>
      </c>
      <c r="B79">
        <v>5.5E-2</v>
      </c>
      <c r="C79">
        <v>4.0000000000000002E-4</v>
      </c>
      <c r="D79">
        <v>6.9999999999999999E-4</v>
      </c>
      <c r="E79">
        <v>7.3000000000000001E-3</v>
      </c>
      <c r="F79">
        <v>7.3000000000000001E-3</v>
      </c>
      <c r="G79">
        <v>1E-4</v>
      </c>
      <c r="H79">
        <v>1.26E-2</v>
      </c>
      <c r="I79">
        <v>0.2278</v>
      </c>
      <c r="J79">
        <v>1.6999999999999999E-3</v>
      </c>
      <c r="K79">
        <v>2.8E-3</v>
      </c>
      <c r="L79">
        <v>1.1299999999999999E-2</v>
      </c>
      <c r="M79">
        <v>1.1299999999999999E-2</v>
      </c>
      <c r="N79">
        <v>2.0000000000000001E-4</v>
      </c>
      <c r="O79">
        <v>5.2299999999999999E-2</v>
      </c>
      <c r="P79">
        <v>0.2828</v>
      </c>
      <c r="Q79">
        <v>2.0999999999999999E-3</v>
      </c>
      <c r="R79">
        <v>3.3999999999999998E-3</v>
      </c>
      <c r="S79">
        <v>1.8599999999999998E-2</v>
      </c>
      <c r="T79">
        <v>1.8599999999999998E-2</v>
      </c>
      <c r="U79">
        <v>2.9999999999999997E-4</v>
      </c>
      <c r="V79">
        <v>6.4899999999999999E-2</v>
      </c>
      <c r="W79" s="4" t="s">
        <v>126</v>
      </c>
      <c r="X79" s="4" t="s">
        <v>116</v>
      </c>
    </row>
    <row r="80" spans="1:24" x14ac:dyDescent="0.25">
      <c r="A80" s="4">
        <v>2104008220</v>
      </c>
      <c r="B80">
        <v>0.1275</v>
      </c>
      <c r="C80">
        <v>8.0000000000000004E-4</v>
      </c>
      <c r="D80">
        <v>1.8E-3</v>
      </c>
      <c r="E80">
        <v>1.09E-2</v>
      </c>
      <c r="F80">
        <v>1.09E-2</v>
      </c>
      <c r="G80">
        <v>4.0000000000000002E-4</v>
      </c>
      <c r="H80">
        <v>1.09E-2</v>
      </c>
      <c r="I80">
        <v>0.52849999999999997</v>
      </c>
      <c r="J80">
        <v>3.3999999999999998E-3</v>
      </c>
      <c r="K80">
        <v>7.4999999999999997E-3</v>
      </c>
      <c r="L80">
        <v>2.8199999999999999E-2</v>
      </c>
      <c r="M80">
        <v>2.8199999999999999E-2</v>
      </c>
      <c r="N80">
        <v>1.4E-3</v>
      </c>
      <c r="O80">
        <v>4.4999999999999998E-2</v>
      </c>
      <c r="P80">
        <v>0.65600000000000003</v>
      </c>
      <c r="Q80">
        <v>4.1999999999999997E-3</v>
      </c>
      <c r="R80">
        <v>9.2999999999999992E-3</v>
      </c>
      <c r="S80">
        <v>3.9100000000000003E-2</v>
      </c>
      <c r="T80">
        <v>3.9100000000000003E-2</v>
      </c>
      <c r="U80">
        <v>1.8E-3</v>
      </c>
      <c r="V80">
        <v>5.5899999999999998E-2</v>
      </c>
      <c r="W80" s="4" t="s">
        <v>127</v>
      </c>
      <c r="X80" s="4" t="s">
        <v>116</v>
      </c>
    </row>
    <row r="81" spans="1:24" x14ac:dyDescent="0.25">
      <c r="A81" s="4">
        <v>2104008230</v>
      </c>
      <c r="B81">
        <v>0.1409</v>
      </c>
      <c r="C81">
        <v>1.1999999999999999E-3</v>
      </c>
      <c r="D81">
        <v>2.5999999999999999E-3</v>
      </c>
      <c r="E81">
        <v>1.7100000000000001E-2</v>
      </c>
      <c r="F81">
        <v>1.7100000000000001E-2</v>
      </c>
      <c r="G81">
        <v>5.0000000000000001E-4</v>
      </c>
      <c r="H81">
        <v>1.9699999999999999E-2</v>
      </c>
      <c r="I81">
        <v>0.58379999999999999</v>
      </c>
      <c r="J81">
        <v>4.8999999999999998E-3</v>
      </c>
      <c r="K81">
        <v>1.09E-2</v>
      </c>
      <c r="L81">
        <v>4.0800000000000003E-2</v>
      </c>
      <c r="M81">
        <v>4.0800000000000003E-2</v>
      </c>
      <c r="N81">
        <v>2E-3</v>
      </c>
      <c r="O81">
        <v>8.1799999999999998E-2</v>
      </c>
      <c r="P81">
        <v>0.72460000000000002</v>
      </c>
      <c r="Q81">
        <v>6.1000000000000004E-3</v>
      </c>
      <c r="R81">
        <v>1.35E-2</v>
      </c>
      <c r="S81">
        <v>5.8000000000000003E-2</v>
      </c>
      <c r="T81">
        <v>5.8000000000000003E-2</v>
      </c>
      <c r="U81">
        <v>2.5999999999999999E-3</v>
      </c>
      <c r="V81">
        <v>0.1016</v>
      </c>
      <c r="W81" s="4" t="s">
        <v>128</v>
      </c>
      <c r="X81" s="4" t="s">
        <v>116</v>
      </c>
    </row>
    <row r="82" spans="1:24" x14ac:dyDescent="0.25">
      <c r="A82" s="4">
        <v>2104008310</v>
      </c>
      <c r="B82">
        <v>0.23619999999999999</v>
      </c>
      <c r="C82">
        <v>8.0000000000000004E-4</v>
      </c>
      <c r="D82">
        <v>2.8E-3</v>
      </c>
      <c r="E82">
        <v>2.3699999999999999E-2</v>
      </c>
      <c r="F82">
        <v>2.3699999999999999E-2</v>
      </c>
      <c r="G82">
        <v>8.0000000000000004E-4</v>
      </c>
      <c r="H82">
        <v>0.1033</v>
      </c>
      <c r="I82">
        <v>0.97860000000000003</v>
      </c>
      <c r="J82">
        <v>3.2000000000000002E-3</v>
      </c>
      <c r="K82">
        <v>1.17E-2</v>
      </c>
      <c r="L82">
        <v>3.6900000000000002E-2</v>
      </c>
      <c r="M82">
        <v>3.6900000000000002E-2</v>
      </c>
      <c r="N82">
        <v>1.9E-3</v>
      </c>
      <c r="O82">
        <v>0.42799999999999999</v>
      </c>
      <c r="P82">
        <v>1.2148000000000001</v>
      </c>
      <c r="Q82">
        <v>4.0000000000000001E-3</v>
      </c>
      <c r="R82">
        <v>1.46E-2</v>
      </c>
      <c r="S82">
        <v>6.0600000000000001E-2</v>
      </c>
      <c r="T82">
        <v>6.0600000000000001E-2</v>
      </c>
      <c r="U82">
        <v>2.5999999999999999E-3</v>
      </c>
      <c r="V82">
        <v>0.53129999999999999</v>
      </c>
      <c r="W82" s="4" t="s">
        <v>129</v>
      </c>
      <c r="X82" s="4" t="s">
        <v>116</v>
      </c>
    </row>
    <row r="83" spans="1:24" x14ac:dyDescent="0.25">
      <c r="A83" s="4">
        <v>2104008320</v>
      </c>
      <c r="B83">
        <v>0.9163</v>
      </c>
      <c r="C83">
        <v>1.9E-3</v>
      </c>
      <c r="D83">
        <v>1.1900000000000001E-2</v>
      </c>
      <c r="E83">
        <v>5.8700000000000002E-2</v>
      </c>
      <c r="F83">
        <v>5.8700000000000002E-2</v>
      </c>
      <c r="G83">
        <v>3.0000000000000001E-3</v>
      </c>
      <c r="H83">
        <v>8.8900000000000007E-2</v>
      </c>
      <c r="I83">
        <v>3.7968000000000002</v>
      </c>
      <c r="J83">
        <v>7.7000000000000002E-3</v>
      </c>
      <c r="K83">
        <v>4.9399999999999999E-2</v>
      </c>
      <c r="L83">
        <v>0.151</v>
      </c>
      <c r="M83">
        <v>0.151</v>
      </c>
      <c r="N83">
        <v>1.17E-2</v>
      </c>
      <c r="O83">
        <v>0.36849999999999999</v>
      </c>
      <c r="P83">
        <v>4.7130999999999998</v>
      </c>
      <c r="Q83">
        <v>9.4999999999999998E-3</v>
      </c>
      <c r="R83">
        <v>6.13E-2</v>
      </c>
      <c r="S83">
        <v>0.2097</v>
      </c>
      <c r="T83">
        <v>0.2097</v>
      </c>
      <c r="U83">
        <v>1.46E-2</v>
      </c>
      <c r="V83">
        <v>0.45739999999999997</v>
      </c>
      <c r="W83" s="4" t="s">
        <v>130</v>
      </c>
      <c r="X83" s="4" t="s">
        <v>116</v>
      </c>
    </row>
    <row r="84" spans="1:24" x14ac:dyDescent="0.25">
      <c r="A84" s="4">
        <v>2104008330</v>
      </c>
      <c r="B84">
        <v>1.3319000000000001</v>
      </c>
      <c r="C84">
        <v>2.7000000000000001E-3</v>
      </c>
      <c r="D84">
        <v>1.7299999999999999E-2</v>
      </c>
      <c r="E84">
        <v>9.4700000000000006E-2</v>
      </c>
      <c r="F84">
        <v>9.4700000000000006E-2</v>
      </c>
      <c r="G84">
        <v>4.3E-3</v>
      </c>
      <c r="H84">
        <v>0.16159999999999999</v>
      </c>
      <c r="I84">
        <v>5.5187999999999997</v>
      </c>
      <c r="J84">
        <v>1.11E-2</v>
      </c>
      <c r="K84">
        <v>7.1800000000000003E-2</v>
      </c>
      <c r="L84">
        <v>0.2366</v>
      </c>
      <c r="M84">
        <v>0.2366</v>
      </c>
      <c r="N84">
        <v>1.7000000000000001E-2</v>
      </c>
      <c r="O84">
        <v>0.66949999999999998</v>
      </c>
      <c r="P84">
        <v>6.8506999999999998</v>
      </c>
      <c r="Q84">
        <v>1.38E-2</v>
      </c>
      <c r="R84">
        <v>8.9099999999999999E-2</v>
      </c>
      <c r="S84">
        <v>0.33139999999999997</v>
      </c>
      <c r="T84">
        <v>0.33139999999999997</v>
      </c>
      <c r="U84">
        <v>2.1299999999999999E-2</v>
      </c>
      <c r="V84">
        <v>0.83109999999999995</v>
      </c>
      <c r="W84" s="4" t="s">
        <v>131</v>
      </c>
      <c r="X84" s="4" t="s">
        <v>116</v>
      </c>
    </row>
    <row r="85" spans="1:24" x14ac:dyDescent="0.25">
      <c r="A85" s="4">
        <v>2104008410</v>
      </c>
      <c r="B85">
        <v>3.0999999999999999E-3</v>
      </c>
      <c r="C85">
        <v>0</v>
      </c>
      <c r="D85">
        <v>1.2999999999999999E-3</v>
      </c>
      <c r="E85">
        <v>8.9999999999999998E-4</v>
      </c>
      <c r="F85">
        <v>8.9999999999999998E-4</v>
      </c>
      <c r="G85">
        <v>1E-4</v>
      </c>
      <c r="H85">
        <v>6.9999999999999999E-4</v>
      </c>
      <c r="I85">
        <v>1.2999999999999999E-2</v>
      </c>
      <c r="J85">
        <v>1E-4</v>
      </c>
      <c r="K85">
        <v>5.1999999999999998E-3</v>
      </c>
      <c r="L85">
        <v>2.3999999999999998E-3</v>
      </c>
      <c r="M85">
        <v>2.3999999999999998E-3</v>
      </c>
      <c r="N85">
        <v>4.0000000000000002E-4</v>
      </c>
      <c r="O85">
        <v>3.0000000000000001E-3</v>
      </c>
      <c r="P85">
        <v>1.61E-2</v>
      </c>
      <c r="Q85">
        <v>1E-4</v>
      </c>
      <c r="R85">
        <v>6.4999999999999997E-3</v>
      </c>
      <c r="S85">
        <v>3.3E-3</v>
      </c>
      <c r="T85">
        <v>3.3E-3</v>
      </c>
      <c r="U85">
        <v>5.0000000000000001E-4</v>
      </c>
      <c r="V85">
        <v>3.7000000000000002E-3</v>
      </c>
      <c r="W85" s="4" t="s">
        <v>132</v>
      </c>
      <c r="X85" s="4" t="s">
        <v>116</v>
      </c>
    </row>
    <row r="86" spans="1:24" x14ac:dyDescent="0.25">
      <c r="A86" s="4">
        <v>2104008420</v>
      </c>
      <c r="B86">
        <v>2.92E-2</v>
      </c>
      <c r="C86">
        <v>2.0000000000000001E-4</v>
      </c>
      <c r="D86">
        <v>1.18E-2</v>
      </c>
      <c r="E86">
        <v>8.6999999999999994E-3</v>
      </c>
      <c r="F86">
        <v>8.6999999999999994E-3</v>
      </c>
      <c r="G86">
        <v>8.9999999999999998E-4</v>
      </c>
      <c r="H86">
        <v>6.7000000000000002E-3</v>
      </c>
      <c r="I86">
        <v>0.1211</v>
      </c>
      <c r="J86">
        <v>8.9999999999999998E-4</v>
      </c>
      <c r="K86">
        <v>4.8800000000000003E-2</v>
      </c>
      <c r="L86">
        <v>2.12E-2</v>
      </c>
      <c r="M86">
        <v>2.12E-2</v>
      </c>
      <c r="N86">
        <v>3.5000000000000001E-3</v>
      </c>
      <c r="O86">
        <v>2.7900000000000001E-2</v>
      </c>
      <c r="P86">
        <v>0.15029999999999999</v>
      </c>
      <c r="Q86">
        <v>1.1000000000000001E-3</v>
      </c>
      <c r="R86">
        <v>6.0600000000000001E-2</v>
      </c>
      <c r="S86">
        <v>2.9899999999999999E-2</v>
      </c>
      <c r="T86">
        <v>2.9899999999999999E-2</v>
      </c>
      <c r="U86">
        <v>4.4000000000000003E-3</v>
      </c>
      <c r="V86">
        <v>3.4700000000000002E-2</v>
      </c>
      <c r="W86" s="4" t="s">
        <v>133</v>
      </c>
      <c r="X86" s="4" t="s">
        <v>116</v>
      </c>
    </row>
    <row r="87" spans="1:24" x14ac:dyDescent="0.25">
      <c r="A87" s="4">
        <v>2104008610</v>
      </c>
      <c r="B87">
        <v>4.5400000000000003E-2</v>
      </c>
      <c r="C87">
        <v>2.0000000000000001E-4</v>
      </c>
      <c r="D87">
        <v>1.1999999999999999E-3</v>
      </c>
      <c r="E87">
        <v>7.4000000000000003E-3</v>
      </c>
      <c r="F87">
        <v>7.4000000000000003E-3</v>
      </c>
      <c r="G87">
        <v>2.9999999999999997E-4</v>
      </c>
      <c r="H87">
        <v>3.4000000000000002E-2</v>
      </c>
      <c r="I87">
        <v>0.37559999999999999</v>
      </c>
      <c r="J87">
        <v>1.5E-3</v>
      </c>
      <c r="K87">
        <v>0.01</v>
      </c>
      <c r="L87">
        <v>2.3099999999999999E-2</v>
      </c>
      <c r="M87">
        <v>2.3099999999999999E-2</v>
      </c>
      <c r="N87">
        <v>1.6000000000000001E-3</v>
      </c>
      <c r="O87">
        <v>0.28149999999999997</v>
      </c>
      <c r="P87">
        <v>0.42099999999999999</v>
      </c>
      <c r="Q87">
        <v>1.6999999999999999E-3</v>
      </c>
      <c r="R87">
        <v>1.12E-2</v>
      </c>
      <c r="S87">
        <v>3.0499999999999999E-2</v>
      </c>
      <c r="T87">
        <v>3.0499999999999999E-2</v>
      </c>
      <c r="U87">
        <v>1.9E-3</v>
      </c>
      <c r="V87">
        <v>0.3155</v>
      </c>
      <c r="W87" s="4" t="s">
        <v>134</v>
      </c>
      <c r="X87" s="4" t="s">
        <v>116</v>
      </c>
    </row>
    <row r="89" spans="1:24" x14ac:dyDescent="0.25">
      <c r="B89" s="80">
        <f>SUMIFS(B70:B87,$X70:$X87,$X89)/B69</f>
        <v>0.99840037324624242</v>
      </c>
      <c r="C89" s="80">
        <f t="shared" ref="C89:V89" si="8">SUMIFS(C70:C87,$X70:$X87,$X89)/C69</f>
        <v>0.97826086956521752</v>
      </c>
      <c r="D89" s="80">
        <f t="shared" si="8"/>
        <v>0.31437125748502992</v>
      </c>
      <c r="E89" s="80">
        <f t="shared" si="8"/>
        <v>0.98153352067442812</v>
      </c>
      <c r="F89" s="80">
        <f t="shared" si="8"/>
        <v>0.98153352067442812</v>
      </c>
      <c r="G89" s="80">
        <f t="shared" si="8"/>
        <v>3.6276522929500336E-2</v>
      </c>
      <c r="H89" s="80">
        <f t="shared" si="8"/>
        <v>0.98662268645776074</v>
      </c>
      <c r="I89" s="80">
        <f t="shared" si="8"/>
        <v>0.99046023423956697</v>
      </c>
      <c r="J89" s="81">
        <f t="shared" si="8"/>
        <v>0.65831987075928922</v>
      </c>
      <c r="K89" s="81">
        <f t="shared" si="8"/>
        <v>0.12312195961944122</v>
      </c>
      <c r="L89" s="80">
        <f t="shared" si="8"/>
        <v>0.95475835639770068</v>
      </c>
      <c r="M89" s="81">
        <f t="shared" si="8"/>
        <v>0.95475835639770068</v>
      </c>
      <c r="N89" s="81">
        <f t="shared" si="8"/>
        <v>2.3184004049607694E-2</v>
      </c>
      <c r="O89" s="81">
        <f t="shared" si="8"/>
        <v>0.98553388052102864</v>
      </c>
      <c r="P89" s="80">
        <f t="shared" si="8"/>
        <v>0.99154254955180998</v>
      </c>
      <c r="Q89" s="81">
        <f t="shared" si="8"/>
        <v>0.67969924812030069</v>
      </c>
      <c r="R89" s="81">
        <f t="shared" si="8"/>
        <v>0.13594923490903249</v>
      </c>
      <c r="S89" s="80">
        <f t="shared" si="8"/>
        <v>0.960538493899874</v>
      </c>
      <c r="T89" s="81">
        <f t="shared" si="8"/>
        <v>0.960538493899874</v>
      </c>
      <c r="U89" s="81">
        <f t="shared" si="8"/>
        <v>2.4826917140715263E-2</v>
      </c>
      <c r="V89" s="81">
        <f t="shared" si="8"/>
        <v>0.98561460634957554</v>
      </c>
      <c r="X89" s="4" t="s">
        <v>116</v>
      </c>
    </row>
    <row r="90" spans="1:24" x14ac:dyDescent="0.25">
      <c r="B90" s="80">
        <f>SUMIFS(B70:B87,$X70:$X87,$X90)/B69</f>
        <v>1.4996500816476155E-3</v>
      </c>
      <c r="C90" s="80">
        <f t="shared" ref="C90:V90" si="9">SUMIFS(C70:C87,$X70:$X87,$X90)/C69</f>
        <v>2.1739130434782612E-2</v>
      </c>
      <c r="D90" s="80">
        <f t="shared" si="9"/>
        <v>0.68443113772455089</v>
      </c>
      <c r="E90" s="80">
        <f t="shared" si="9"/>
        <v>1.846647932557206E-2</v>
      </c>
      <c r="F90" s="80">
        <f t="shared" si="9"/>
        <v>1.846647932557206E-2</v>
      </c>
      <c r="G90" s="80">
        <f t="shared" si="9"/>
        <v>0.96372347707049966</v>
      </c>
      <c r="H90" s="80">
        <f t="shared" si="9"/>
        <v>1.3010811801356057E-2</v>
      </c>
      <c r="I90" s="80">
        <f t="shared" si="9"/>
        <v>3.408946767578538E-3</v>
      </c>
      <c r="J90" s="81">
        <f t="shared" si="9"/>
        <v>2.8271405492730214E-2</v>
      </c>
      <c r="K90" s="81">
        <f t="shared" si="9"/>
        <v>0.78255628739937144</v>
      </c>
      <c r="L90" s="80">
        <f t="shared" si="9"/>
        <v>2.7038535235256546E-2</v>
      </c>
      <c r="M90" s="81">
        <f t="shared" si="9"/>
        <v>2.7038535235256546E-2</v>
      </c>
      <c r="N90" s="81">
        <f t="shared" si="9"/>
        <v>0.96623639584915211</v>
      </c>
      <c r="O90" s="81">
        <f t="shared" si="9"/>
        <v>1.2764953497324079E-2</v>
      </c>
      <c r="P90" s="80">
        <f t="shared" si="9"/>
        <v>3.147594826996327E-3</v>
      </c>
      <c r="Q90" s="81">
        <f t="shared" si="9"/>
        <v>2.7819548872180452E-2</v>
      </c>
      <c r="R90" s="81">
        <f t="shared" si="9"/>
        <v>0.77597493875256029</v>
      </c>
      <c r="S90" s="80">
        <f t="shared" si="9"/>
        <v>2.5241901556583932E-2</v>
      </c>
      <c r="T90" s="81">
        <f t="shared" si="9"/>
        <v>2.5241901556583932E-2</v>
      </c>
      <c r="U90" s="81">
        <f t="shared" si="9"/>
        <v>0.96591259866825407</v>
      </c>
      <c r="V90" s="81">
        <f t="shared" si="9"/>
        <v>1.2768926619374345E-2</v>
      </c>
      <c r="X90" s="4" t="s">
        <v>115</v>
      </c>
    </row>
    <row r="91" spans="1:24" x14ac:dyDescent="0.25">
      <c r="B91" s="80">
        <f>SUMIFS(B70:B87,$X70:$X87,$X91)/B69</f>
        <v>9.9976672109841042E-5</v>
      </c>
      <c r="C91" s="80">
        <f t="shared" ref="C91:V91" si="10">SUMIFS(C70:C87,$X70:$X87,$X91)/C69</f>
        <v>0</v>
      </c>
      <c r="D91" s="80">
        <f t="shared" si="10"/>
        <v>0</v>
      </c>
      <c r="E91" s="80">
        <f t="shared" si="10"/>
        <v>0</v>
      </c>
      <c r="F91" s="80">
        <f t="shared" si="10"/>
        <v>0</v>
      </c>
      <c r="G91" s="80">
        <f t="shared" si="10"/>
        <v>0</v>
      </c>
      <c r="H91" s="80">
        <f t="shared" si="10"/>
        <v>0</v>
      </c>
      <c r="I91" s="80">
        <f t="shared" si="10"/>
        <v>1.7282567333305146E-3</v>
      </c>
      <c r="J91" s="81">
        <f t="shared" si="10"/>
        <v>2.4232633279483036E-3</v>
      </c>
      <c r="K91" s="81">
        <f t="shared" si="10"/>
        <v>5.165956347668862E-4</v>
      </c>
      <c r="L91" s="80">
        <f t="shared" si="10"/>
        <v>9.5805833510751543E-4</v>
      </c>
      <c r="M91" s="81">
        <f t="shared" si="10"/>
        <v>9.5805833510751543E-4</v>
      </c>
      <c r="N91" s="81">
        <f t="shared" si="10"/>
        <v>6.5806125031637552E-4</v>
      </c>
      <c r="O91" s="81">
        <f t="shared" si="10"/>
        <v>3.1043174847578012E-4</v>
      </c>
      <c r="P91" s="80">
        <f t="shared" si="10"/>
        <v>1.5099331706315716E-3</v>
      </c>
      <c r="Q91" s="81">
        <f t="shared" si="10"/>
        <v>2.2556390977443606E-3</v>
      </c>
      <c r="R91" s="81">
        <f t="shared" si="10"/>
        <v>4.8194706614723486E-4</v>
      </c>
      <c r="S91" s="80">
        <f t="shared" si="10"/>
        <v>7.5725704669751793E-4</v>
      </c>
      <c r="T91" s="81">
        <f t="shared" si="10"/>
        <v>7.5725704669751793E-4</v>
      </c>
      <c r="U91" s="81">
        <f t="shared" si="10"/>
        <v>6.1736561273537062E-4</v>
      </c>
      <c r="V91" s="81">
        <f t="shared" si="10"/>
        <v>2.9073148040469825E-4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4.3972770707369664E-3</v>
      </c>
      <c r="J92" s="81">
        <f t="shared" si="11"/>
        <v>0.31098546042003233</v>
      </c>
      <c r="K92" s="81">
        <f t="shared" si="11"/>
        <v>9.3762107710189849E-2</v>
      </c>
      <c r="L92" s="80">
        <f t="shared" si="11"/>
        <v>1.7245050031935275E-2</v>
      </c>
      <c r="M92" s="81">
        <f t="shared" si="11"/>
        <v>1.7245050031935275E-2</v>
      </c>
      <c r="N92" s="81">
        <f t="shared" si="11"/>
        <v>9.9721589471019993E-3</v>
      </c>
      <c r="O92" s="81">
        <f t="shared" si="11"/>
        <v>1.3783169632324637E-3</v>
      </c>
      <c r="P92" s="80">
        <f t="shared" si="11"/>
        <v>3.7953607189289049E-3</v>
      </c>
      <c r="Q92" s="81">
        <f t="shared" si="11"/>
        <v>0.28947368421052627</v>
      </c>
      <c r="R92" s="81">
        <f t="shared" si="11"/>
        <v>8.7473392505723127E-2</v>
      </c>
      <c r="S92" s="80">
        <f t="shared" si="11"/>
        <v>1.3630626840555323E-2</v>
      </c>
      <c r="T92" s="81">
        <f t="shared" si="11"/>
        <v>1.3630626840555323E-2</v>
      </c>
      <c r="U92" s="81">
        <f t="shared" si="11"/>
        <v>8.6872161220620005E-3</v>
      </c>
      <c r="V92" s="81">
        <f t="shared" si="11"/>
        <v>1.2908477729968602E-3</v>
      </c>
      <c r="X92" s="4" t="s">
        <v>113</v>
      </c>
    </row>
  </sheetData>
  <sheetProtection algorithmName="SHA-512" hashValue="1ORmmrnJ1og6LaTIm87V1uOHPjpvv/GTorOOgZJgVaFIqedlIBmcU/fOSkUS1ALCmc5/ckveWFdZASj2hKQGXg==" saltValue="nBaqKu5lqVgp7BfhAxHgLg=="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1B6C0-6398-4973-99FC-D82170FACE1B}">
  <sheetPr codeName="Sheet29"/>
  <dimension ref="A2:X92"/>
  <sheetViews>
    <sheetView workbookViewId="0"/>
  </sheetViews>
  <sheetFormatPr defaultRowHeight="15" x14ac:dyDescent="0.25"/>
  <cols>
    <col min="1" max="1" width="13" customWidth="1"/>
    <col min="23" max="23" width="11.85546875" customWidth="1"/>
  </cols>
  <sheetData>
    <row r="2" spans="1:24" x14ac:dyDescent="0.25">
      <c r="A2" t="s">
        <v>317</v>
      </c>
    </row>
    <row r="3" spans="1:24" x14ac:dyDescent="0.25">
      <c r="A3" s="77" t="s">
        <v>213</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2.9855</v>
      </c>
      <c r="C7">
        <v>9.1000000000000004E-3</v>
      </c>
      <c r="D7">
        <v>0.16800000000000001</v>
      </c>
      <c r="E7">
        <v>0.24790000000000001</v>
      </c>
      <c r="F7">
        <v>0.24790000000000001</v>
      </c>
      <c r="G7">
        <v>0.2954</v>
      </c>
      <c r="H7">
        <v>0.54300000000000004</v>
      </c>
      <c r="I7">
        <v>18.824999999999999</v>
      </c>
      <c r="J7">
        <v>0.1235</v>
      </c>
      <c r="K7">
        <v>2.3369</v>
      </c>
      <c r="L7">
        <v>1.9596</v>
      </c>
      <c r="M7">
        <v>1.9596</v>
      </c>
      <c r="N7">
        <v>3.7953999999999999</v>
      </c>
      <c r="O7">
        <v>8.0131999999999994</v>
      </c>
      <c r="P7">
        <v>21.810500000000001</v>
      </c>
      <c r="Q7">
        <v>0.1326</v>
      </c>
      <c r="R7">
        <v>2.5047999999999999</v>
      </c>
      <c r="S7">
        <v>2.2075</v>
      </c>
      <c r="T7">
        <v>2.2075</v>
      </c>
      <c r="U7">
        <v>4.0907999999999998</v>
      </c>
      <c r="V7">
        <v>8.5562000000000005</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7.0000000000000001E-3</v>
      </c>
      <c r="E10">
        <v>2.0000000000000001E-4</v>
      </c>
      <c r="F10">
        <v>2.0000000000000001E-4</v>
      </c>
      <c r="G10">
        <v>4.8999999999999998E-3</v>
      </c>
      <c r="H10">
        <v>2.9999999999999997E-4</v>
      </c>
      <c r="I10">
        <v>1.3299999999999999E-2</v>
      </c>
      <c r="J10">
        <v>6.9999999999999999E-4</v>
      </c>
      <c r="K10">
        <v>0.53610000000000002</v>
      </c>
      <c r="L10">
        <v>1.3599999999999999E-2</v>
      </c>
      <c r="M10">
        <v>1.3599999999999999E-2</v>
      </c>
      <c r="N10">
        <v>0.379</v>
      </c>
      <c r="O10">
        <v>2.12E-2</v>
      </c>
      <c r="P10">
        <v>1.35E-2</v>
      </c>
      <c r="Q10">
        <v>6.9999999999999999E-4</v>
      </c>
      <c r="R10">
        <v>0.54310000000000003</v>
      </c>
      <c r="S10">
        <v>1.38E-2</v>
      </c>
      <c r="T10">
        <v>1.38E-2</v>
      </c>
      <c r="U10">
        <v>0.38390000000000002</v>
      </c>
      <c r="V10">
        <v>2.1499999999999998E-2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2.87E-2</v>
      </c>
      <c r="J13">
        <v>2.9999999999999997E-4</v>
      </c>
      <c r="K13">
        <v>1E-3</v>
      </c>
      <c r="L13">
        <v>1.8E-3</v>
      </c>
      <c r="M13">
        <v>1.8E-3</v>
      </c>
      <c r="N13">
        <v>2E-3</v>
      </c>
      <c r="O13">
        <v>2.2000000000000001E-3</v>
      </c>
      <c r="P13">
        <v>2.8799999999999999E-2</v>
      </c>
      <c r="Q13">
        <v>2.9999999999999997E-4</v>
      </c>
      <c r="R13">
        <v>1E-3</v>
      </c>
      <c r="S13">
        <v>1.8E-3</v>
      </c>
      <c r="T13">
        <v>1.8E-3</v>
      </c>
      <c r="U13">
        <v>2E-3</v>
      </c>
      <c r="V13">
        <v>2.2000000000000001E-3</v>
      </c>
      <c r="W13" s="4" t="s">
        <v>122</v>
      </c>
      <c r="X13" s="4" t="s">
        <v>114</v>
      </c>
    </row>
    <row r="14" spans="1:24" x14ac:dyDescent="0.25">
      <c r="A14" s="4">
        <v>2104004000</v>
      </c>
      <c r="B14">
        <v>4.3E-3</v>
      </c>
      <c r="C14">
        <v>2.0000000000000001E-4</v>
      </c>
      <c r="D14">
        <v>0.1087</v>
      </c>
      <c r="E14">
        <v>4.4000000000000003E-3</v>
      </c>
      <c r="F14">
        <v>4.4000000000000003E-3</v>
      </c>
      <c r="G14">
        <v>0.27989999999999998</v>
      </c>
      <c r="H14">
        <v>6.8999999999999999E-3</v>
      </c>
      <c r="I14">
        <v>5.1799999999999999E-2</v>
      </c>
      <c r="J14">
        <v>2.8E-3</v>
      </c>
      <c r="K14">
        <v>1.2970999999999999</v>
      </c>
      <c r="L14">
        <v>5.2699999999999997E-2</v>
      </c>
      <c r="M14">
        <v>5.2699999999999997E-2</v>
      </c>
      <c r="N14">
        <v>3.34</v>
      </c>
      <c r="O14">
        <v>8.2400000000000001E-2</v>
      </c>
      <c r="P14">
        <v>5.6099999999999997E-2</v>
      </c>
      <c r="Q14">
        <v>3.0999999999999999E-3</v>
      </c>
      <c r="R14">
        <v>1.4056999999999999</v>
      </c>
      <c r="S14">
        <v>5.7099999999999998E-2</v>
      </c>
      <c r="T14">
        <v>5.7099999999999998E-2</v>
      </c>
      <c r="U14">
        <v>3.62</v>
      </c>
      <c r="V14">
        <v>8.9300000000000004E-2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0.1096</v>
      </c>
      <c r="C16">
        <v>8.0000000000000004E-4</v>
      </c>
      <c r="D16">
        <v>1.1000000000000001E-3</v>
      </c>
      <c r="E16">
        <v>1.4999999999999999E-2</v>
      </c>
      <c r="F16">
        <v>1.4999999999999999E-2</v>
      </c>
      <c r="G16">
        <v>2.0000000000000001E-4</v>
      </c>
      <c r="H16">
        <v>9.9299999999999999E-2</v>
      </c>
      <c r="I16">
        <v>6.5603999999999996</v>
      </c>
      <c r="J16">
        <v>4.6699999999999998E-2</v>
      </c>
      <c r="K16">
        <v>6.7500000000000004E-2</v>
      </c>
      <c r="L16">
        <v>0.89859999999999995</v>
      </c>
      <c r="M16">
        <v>0.89859999999999995</v>
      </c>
      <c r="N16">
        <v>1.04E-2</v>
      </c>
      <c r="O16">
        <v>5.9474</v>
      </c>
      <c r="P16">
        <v>6.6699000000000002</v>
      </c>
      <c r="Q16">
        <v>4.7500000000000001E-2</v>
      </c>
      <c r="R16">
        <v>6.8699999999999997E-2</v>
      </c>
      <c r="S16">
        <v>0.91359999999999997</v>
      </c>
      <c r="T16">
        <v>0.91359999999999997</v>
      </c>
      <c r="U16">
        <v>1.06E-2</v>
      </c>
      <c r="V16">
        <v>6.0468000000000002</v>
      </c>
      <c r="W16" s="4" t="s">
        <v>125</v>
      </c>
      <c r="X16" s="4" t="s">
        <v>116</v>
      </c>
    </row>
    <row r="17" spans="1:24" x14ac:dyDescent="0.25">
      <c r="A17" s="4">
        <v>2104008210</v>
      </c>
      <c r="B17">
        <v>5.4699999999999999E-2</v>
      </c>
      <c r="C17">
        <v>4.0000000000000002E-4</v>
      </c>
      <c r="D17">
        <v>6.9999999999999999E-4</v>
      </c>
      <c r="E17">
        <v>7.3000000000000001E-3</v>
      </c>
      <c r="F17">
        <v>7.3000000000000001E-3</v>
      </c>
      <c r="G17">
        <v>1E-4</v>
      </c>
      <c r="H17">
        <v>1.26E-2</v>
      </c>
      <c r="I17">
        <v>0.22670000000000001</v>
      </c>
      <c r="J17">
        <v>1.6999999999999999E-3</v>
      </c>
      <c r="K17">
        <v>2.7000000000000001E-3</v>
      </c>
      <c r="L17">
        <v>3.0099999999999998E-2</v>
      </c>
      <c r="M17">
        <v>3.0099999999999998E-2</v>
      </c>
      <c r="N17">
        <v>4.0000000000000002E-4</v>
      </c>
      <c r="O17">
        <v>5.1999999999999998E-2</v>
      </c>
      <c r="P17">
        <v>0.28139999999999998</v>
      </c>
      <c r="Q17">
        <v>2.0999999999999999E-3</v>
      </c>
      <c r="R17">
        <v>3.3999999999999998E-3</v>
      </c>
      <c r="S17">
        <v>3.73E-2</v>
      </c>
      <c r="T17">
        <v>3.73E-2</v>
      </c>
      <c r="U17">
        <v>5.0000000000000001E-4</v>
      </c>
      <c r="V17">
        <v>6.4600000000000005E-2</v>
      </c>
      <c r="W17" s="4" t="s">
        <v>126</v>
      </c>
      <c r="X17" s="4" t="s">
        <v>116</v>
      </c>
    </row>
    <row r="18" spans="1:24" x14ac:dyDescent="0.25">
      <c r="A18" s="4">
        <v>2104008220</v>
      </c>
      <c r="B18">
        <v>0.12690000000000001</v>
      </c>
      <c r="C18">
        <v>8.0000000000000004E-4</v>
      </c>
      <c r="D18">
        <v>1.8E-3</v>
      </c>
      <c r="E18">
        <v>1.0800000000000001E-2</v>
      </c>
      <c r="F18">
        <v>1.0800000000000001E-2</v>
      </c>
      <c r="G18">
        <v>4.0000000000000002E-4</v>
      </c>
      <c r="H18">
        <v>1.0800000000000001E-2</v>
      </c>
      <c r="I18">
        <v>0.52580000000000005</v>
      </c>
      <c r="J18">
        <v>3.3999999999999998E-3</v>
      </c>
      <c r="K18">
        <v>7.4999999999999997E-3</v>
      </c>
      <c r="L18">
        <v>4.48E-2</v>
      </c>
      <c r="M18">
        <v>4.48E-2</v>
      </c>
      <c r="N18">
        <v>1.5E-3</v>
      </c>
      <c r="O18">
        <v>4.48E-2</v>
      </c>
      <c r="P18">
        <v>0.65269999999999995</v>
      </c>
      <c r="Q18">
        <v>4.1999999999999997E-3</v>
      </c>
      <c r="R18">
        <v>9.2999999999999992E-3</v>
      </c>
      <c r="S18">
        <v>5.5599999999999997E-2</v>
      </c>
      <c r="T18">
        <v>5.5599999999999997E-2</v>
      </c>
      <c r="U18">
        <v>1.9E-3</v>
      </c>
      <c r="V18">
        <v>5.5599999999999997E-2</v>
      </c>
      <c r="W18" s="4" t="s">
        <v>127</v>
      </c>
      <c r="X18" s="4" t="s">
        <v>116</v>
      </c>
    </row>
    <row r="19" spans="1:24" x14ac:dyDescent="0.25">
      <c r="A19" s="4">
        <v>2104008230</v>
      </c>
      <c r="B19">
        <v>0.14019999999999999</v>
      </c>
      <c r="C19">
        <v>1.1999999999999999E-3</v>
      </c>
      <c r="D19">
        <v>2.5999999999999999E-3</v>
      </c>
      <c r="E19">
        <v>1.7000000000000001E-2</v>
      </c>
      <c r="F19">
        <v>1.7000000000000001E-2</v>
      </c>
      <c r="G19">
        <v>5.0000000000000001E-4</v>
      </c>
      <c r="H19">
        <v>1.9599999999999999E-2</v>
      </c>
      <c r="I19">
        <v>0.58079999999999998</v>
      </c>
      <c r="J19">
        <v>4.8999999999999998E-3</v>
      </c>
      <c r="K19">
        <v>1.09E-2</v>
      </c>
      <c r="L19">
        <v>7.0599999999999996E-2</v>
      </c>
      <c r="M19">
        <v>7.0599999999999996E-2</v>
      </c>
      <c r="N19">
        <v>2.2000000000000001E-3</v>
      </c>
      <c r="O19">
        <v>8.14E-2</v>
      </c>
      <c r="P19">
        <v>0.72089999999999999</v>
      </c>
      <c r="Q19">
        <v>6.1000000000000004E-3</v>
      </c>
      <c r="R19">
        <v>1.35E-2</v>
      </c>
      <c r="S19">
        <v>8.7599999999999997E-2</v>
      </c>
      <c r="T19">
        <v>8.7599999999999997E-2</v>
      </c>
      <c r="U19">
        <v>2.7000000000000001E-3</v>
      </c>
      <c r="V19">
        <v>0.1011</v>
      </c>
      <c r="W19" s="4" t="s">
        <v>128</v>
      </c>
      <c r="X19" s="4" t="s">
        <v>116</v>
      </c>
    </row>
    <row r="20" spans="1:24" x14ac:dyDescent="0.25">
      <c r="A20" s="4">
        <v>2104008310</v>
      </c>
      <c r="B20">
        <v>0.23499999999999999</v>
      </c>
      <c r="C20">
        <v>8.0000000000000004E-4</v>
      </c>
      <c r="D20">
        <v>2.8E-3</v>
      </c>
      <c r="E20">
        <v>2.35E-2</v>
      </c>
      <c r="F20">
        <v>2.35E-2</v>
      </c>
      <c r="G20">
        <v>8.0000000000000004E-4</v>
      </c>
      <c r="H20">
        <v>0.1028</v>
      </c>
      <c r="I20">
        <v>0.97360000000000002</v>
      </c>
      <c r="J20">
        <v>3.2000000000000002E-3</v>
      </c>
      <c r="K20">
        <v>1.17E-2</v>
      </c>
      <c r="L20">
        <v>9.7600000000000006E-2</v>
      </c>
      <c r="M20">
        <v>9.7600000000000006E-2</v>
      </c>
      <c r="N20">
        <v>3.2000000000000002E-3</v>
      </c>
      <c r="O20">
        <v>0.42580000000000001</v>
      </c>
      <c r="P20">
        <v>1.2085999999999999</v>
      </c>
      <c r="Q20">
        <v>4.0000000000000001E-3</v>
      </c>
      <c r="R20">
        <v>1.4500000000000001E-2</v>
      </c>
      <c r="S20">
        <v>0.1211</v>
      </c>
      <c r="T20">
        <v>0.1211</v>
      </c>
      <c r="U20">
        <v>4.0000000000000001E-3</v>
      </c>
      <c r="V20">
        <v>0.52859999999999996</v>
      </c>
      <c r="W20" s="4" t="s">
        <v>129</v>
      </c>
      <c r="X20" s="4" t="s">
        <v>116</v>
      </c>
    </row>
    <row r="21" spans="1:24" x14ac:dyDescent="0.25">
      <c r="A21" s="4">
        <v>2104008320</v>
      </c>
      <c r="B21">
        <v>0.91169999999999995</v>
      </c>
      <c r="C21">
        <v>1.8E-3</v>
      </c>
      <c r="D21">
        <v>1.1900000000000001E-2</v>
      </c>
      <c r="E21">
        <v>5.8400000000000001E-2</v>
      </c>
      <c r="F21">
        <v>5.8400000000000001E-2</v>
      </c>
      <c r="G21">
        <v>2.8999999999999998E-3</v>
      </c>
      <c r="H21">
        <v>8.8499999999999995E-2</v>
      </c>
      <c r="I21">
        <v>3.7772999999999999</v>
      </c>
      <c r="J21">
        <v>7.6E-3</v>
      </c>
      <c r="K21">
        <v>4.9200000000000001E-2</v>
      </c>
      <c r="L21">
        <v>0.24210000000000001</v>
      </c>
      <c r="M21">
        <v>0.24210000000000001</v>
      </c>
      <c r="N21">
        <v>1.2200000000000001E-2</v>
      </c>
      <c r="O21">
        <v>0.36659999999999998</v>
      </c>
      <c r="P21">
        <v>4.6890000000000001</v>
      </c>
      <c r="Q21">
        <v>9.4999999999999998E-3</v>
      </c>
      <c r="R21">
        <v>6.0999999999999999E-2</v>
      </c>
      <c r="S21">
        <v>0.30059999999999998</v>
      </c>
      <c r="T21">
        <v>0.30059999999999998</v>
      </c>
      <c r="U21">
        <v>1.52E-2</v>
      </c>
      <c r="V21">
        <v>0.4551</v>
      </c>
      <c r="W21" s="4" t="s">
        <v>130</v>
      </c>
      <c r="X21" s="4" t="s">
        <v>116</v>
      </c>
    </row>
    <row r="22" spans="1:24" x14ac:dyDescent="0.25">
      <c r="A22" s="4">
        <v>2104008330</v>
      </c>
      <c r="B22">
        <v>1.3250999999999999</v>
      </c>
      <c r="C22">
        <v>2.7000000000000001E-3</v>
      </c>
      <c r="D22">
        <v>1.72E-2</v>
      </c>
      <c r="E22">
        <v>9.4200000000000006E-2</v>
      </c>
      <c r="F22">
        <v>9.4200000000000006E-2</v>
      </c>
      <c r="G22">
        <v>4.3E-3</v>
      </c>
      <c r="H22">
        <v>0.1608</v>
      </c>
      <c r="I22">
        <v>5.4904999999999999</v>
      </c>
      <c r="J22">
        <v>1.11E-2</v>
      </c>
      <c r="K22">
        <v>7.1400000000000005E-2</v>
      </c>
      <c r="L22">
        <v>0.39050000000000001</v>
      </c>
      <c r="M22">
        <v>0.39050000000000001</v>
      </c>
      <c r="N22">
        <v>1.78E-2</v>
      </c>
      <c r="O22">
        <v>0.66610000000000003</v>
      </c>
      <c r="P22">
        <v>6.8155999999999999</v>
      </c>
      <c r="Q22">
        <v>1.38E-2</v>
      </c>
      <c r="R22">
        <v>8.8700000000000001E-2</v>
      </c>
      <c r="S22">
        <v>0.48470000000000002</v>
      </c>
      <c r="T22">
        <v>0.48470000000000002</v>
      </c>
      <c r="U22">
        <v>2.1999999999999999E-2</v>
      </c>
      <c r="V22">
        <v>0.82689999999999997</v>
      </c>
      <c r="W22" s="4" t="s">
        <v>131</v>
      </c>
      <c r="X22" s="4" t="s">
        <v>116</v>
      </c>
    </row>
    <row r="23" spans="1:24" x14ac:dyDescent="0.25">
      <c r="A23" s="4">
        <v>2104008410</v>
      </c>
      <c r="B23">
        <v>3.0999999999999999E-3</v>
      </c>
      <c r="C23">
        <v>0</v>
      </c>
      <c r="D23">
        <v>1.2999999999999999E-3</v>
      </c>
      <c r="E23">
        <v>8.9999999999999998E-4</v>
      </c>
      <c r="F23">
        <v>8.9999999999999998E-4</v>
      </c>
      <c r="G23">
        <v>1E-4</v>
      </c>
      <c r="H23">
        <v>6.9999999999999999E-4</v>
      </c>
      <c r="I23">
        <v>1.29E-2</v>
      </c>
      <c r="J23">
        <v>1E-4</v>
      </c>
      <c r="K23">
        <v>5.1999999999999998E-3</v>
      </c>
      <c r="L23">
        <v>3.8E-3</v>
      </c>
      <c r="M23">
        <v>3.8E-3</v>
      </c>
      <c r="N23">
        <v>4.0000000000000002E-4</v>
      </c>
      <c r="O23">
        <v>3.0000000000000001E-3</v>
      </c>
      <c r="P23">
        <v>1.6E-2</v>
      </c>
      <c r="Q23">
        <v>1E-4</v>
      </c>
      <c r="R23">
        <v>6.4999999999999997E-3</v>
      </c>
      <c r="S23">
        <v>4.7999999999999996E-3</v>
      </c>
      <c r="T23">
        <v>4.7999999999999996E-3</v>
      </c>
      <c r="U23">
        <v>5.0000000000000001E-4</v>
      </c>
      <c r="V23">
        <v>3.7000000000000002E-3</v>
      </c>
      <c r="W23" s="4" t="s">
        <v>132</v>
      </c>
      <c r="X23" s="4" t="s">
        <v>116</v>
      </c>
    </row>
    <row r="24" spans="1:24" x14ac:dyDescent="0.25">
      <c r="A24" s="4">
        <v>2104008420</v>
      </c>
      <c r="B24">
        <v>2.9100000000000001E-2</v>
      </c>
      <c r="C24">
        <v>2.0000000000000001E-4</v>
      </c>
      <c r="D24">
        <v>1.17E-2</v>
      </c>
      <c r="E24">
        <v>8.6999999999999994E-3</v>
      </c>
      <c r="F24">
        <v>8.6999999999999994E-3</v>
      </c>
      <c r="G24">
        <v>8.9999999999999998E-4</v>
      </c>
      <c r="H24">
        <v>6.7000000000000002E-3</v>
      </c>
      <c r="I24">
        <v>0.12039999999999999</v>
      </c>
      <c r="J24">
        <v>8.9999999999999998E-4</v>
      </c>
      <c r="K24">
        <v>4.8599999999999997E-2</v>
      </c>
      <c r="L24">
        <v>3.5900000000000001E-2</v>
      </c>
      <c r="M24">
        <v>3.5900000000000001E-2</v>
      </c>
      <c r="N24">
        <v>3.8999999999999998E-3</v>
      </c>
      <c r="O24">
        <v>2.7799999999999998E-2</v>
      </c>
      <c r="P24">
        <v>0.14949999999999999</v>
      </c>
      <c r="Q24">
        <v>1.1000000000000001E-3</v>
      </c>
      <c r="R24">
        <v>6.0299999999999999E-2</v>
      </c>
      <c r="S24">
        <v>4.4600000000000001E-2</v>
      </c>
      <c r="T24">
        <v>4.4600000000000001E-2</v>
      </c>
      <c r="U24">
        <v>4.7999999999999996E-3</v>
      </c>
      <c r="V24">
        <v>3.4500000000000003E-2</v>
      </c>
      <c r="W24" s="4" t="s">
        <v>133</v>
      </c>
      <c r="X24" s="4" t="s">
        <v>116</v>
      </c>
    </row>
    <row r="25" spans="1:24" x14ac:dyDescent="0.25">
      <c r="A25" s="4">
        <v>2104008610</v>
      </c>
      <c r="B25">
        <v>4.5199999999999997E-2</v>
      </c>
      <c r="C25">
        <v>2.0000000000000001E-4</v>
      </c>
      <c r="D25">
        <v>1.1999999999999999E-3</v>
      </c>
      <c r="E25">
        <v>7.4000000000000003E-3</v>
      </c>
      <c r="F25">
        <v>7.4000000000000003E-3</v>
      </c>
      <c r="G25">
        <v>2.9999999999999997E-4</v>
      </c>
      <c r="H25">
        <v>3.3799999999999997E-2</v>
      </c>
      <c r="I25">
        <v>0.37369999999999998</v>
      </c>
      <c r="J25">
        <v>1.5E-3</v>
      </c>
      <c r="K25">
        <v>9.9000000000000008E-3</v>
      </c>
      <c r="L25">
        <v>6.0900000000000003E-2</v>
      </c>
      <c r="M25">
        <v>6.0900000000000003E-2</v>
      </c>
      <c r="N25">
        <v>2.5000000000000001E-3</v>
      </c>
      <c r="O25">
        <v>0.28010000000000002</v>
      </c>
      <c r="P25">
        <v>0.41880000000000001</v>
      </c>
      <c r="Q25">
        <v>1.6999999999999999E-3</v>
      </c>
      <c r="R25">
        <v>1.12E-2</v>
      </c>
      <c r="S25">
        <v>6.8199999999999997E-2</v>
      </c>
      <c r="T25">
        <v>6.8199999999999997E-2</v>
      </c>
      <c r="U25">
        <v>2.8E-3</v>
      </c>
      <c r="V25">
        <v>0.31390000000000001</v>
      </c>
      <c r="W25" s="4" t="s">
        <v>134</v>
      </c>
      <c r="X25" s="4" t="s">
        <v>116</v>
      </c>
    </row>
    <row r="26" spans="1:24" x14ac:dyDescent="0.25">
      <c r="X26" s="4"/>
    </row>
    <row r="27" spans="1:24" x14ac:dyDescent="0.25">
      <c r="B27" s="79">
        <f>SUMIFS(B8:B25,$X8:$X25,$X27)/B7</f>
        <v>0.99845921956121242</v>
      </c>
      <c r="C27" s="79">
        <f t="shared" ref="C27:V27" si="0">SUMIFS(C8:C25,$X8:$X25,$X27)/C7</f>
        <v>0.97802197802197821</v>
      </c>
      <c r="D27" s="79">
        <f t="shared" si="0"/>
        <v>0.31130952380952381</v>
      </c>
      <c r="E27" s="79">
        <f t="shared" si="0"/>
        <v>0.981040742234772</v>
      </c>
      <c r="F27" s="79">
        <f t="shared" si="0"/>
        <v>0.981040742234772</v>
      </c>
      <c r="G27" s="79">
        <f t="shared" si="0"/>
        <v>3.5545023696682464E-2</v>
      </c>
      <c r="H27" s="79">
        <f t="shared" si="0"/>
        <v>0.9867403314917127</v>
      </c>
      <c r="I27" s="79">
        <f t="shared" si="0"/>
        <v>0.99037981407702524</v>
      </c>
      <c r="J27" s="79">
        <f t="shared" si="0"/>
        <v>0.65668016194331991</v>
      </c>
      <c r="K27" s="79">
        <f t="shared" si="0"/>
        <v>0.12178527108562627</v>
      </c>
      <c r="L27" s="79">
        <f t="shared" si="0"/>
        <v>0.95692998571136967</v>
      </c>
      <c r="M27" s="79">
        <f t="shared" si="0"/>
        <v>0.95692998571136967</v>
      </c>
      <c r="N27" s="79">
        <f t="shared" si="0"/>
        <v>1.4359487801022293E-2</v>
      </c>
      <c r="O27" s="79">
        <f t="shared" si="0"/>
        <v>0.98536165327210112</v>
      </c>
      <c r="P27" s="79">
        <f t="shared" si="0"/>
        <v>0.9914719974324292</v>
      </c>
      <c r="Q27" s="79">
        <f t="shared" si="0"/>
        <v>0.67948717948717952</v>
      </c>
      <c r="R27" s="79">
        <f t="shared" si="0"/>
        <v>0.1345816033216225</v>
      </c>
      <c r="S27" s="79">
        <f t="shared" si="0"/>
        <v>0.95963759909399771</v>
      </c>
      <c r="T27" s="79">
        <f t="shared" si="0"/>
        <v>0.95963759909399771</v>
      </c>
      <c r="U27" s="79">
        <f t="shared" si="0"/>
        <v>1.5889312603891662E-2</v>
      </c>
      <c r="V27" s="79">
        <f t="shared" si="0"/>
        <v>0.985460835417592</v>
      </c>
      <c r="X27" s="4" t="s">
        <v>116</v>
      </c>
    </row>
    <row r="28" spans="1:24" x14ac:dyDescent="0.25">
      <c r="B28" s="79">
        <f>SUMIFS(B8:B25,$X8:$X25,$X28)/B7</f>
        <v>1.5072852118573103E-3</v>
      </c>
      <c r="C28" s="79">
        <f t="shared" ref="C28:V28" si="1">SUMIFS(C8:C25,$X8:$X25,$X28)/C7</f>
        <v>2.1978021978021976E-2</v>
      </c>
      <c r="D28" s="79">
        <f t="shared" si="1"/>
        <v>0.68869047619047619</v>
      </c>
      <c r="E28" s="79">
        <f t="shared" si="1"/>
        <v>1.8555869302137956E-2</v>
      </c>
      <c r="F28" s="79">
        <f t="shared" si="1"/>
        <v>1.8555869302137956E-2</v>
      </c>
      <c r="G28" s="79">
        <f t="shared" si="1"/>
        <v>0.96411645226811105</v>
      </c>
      <c r="H28" s="79">
        <f t="shared" si="1"/>
        <v>1.3259668508287291E-2</v>
      </c>
      <c r="I28" s="79">
        <f t="shared" si="1"/>
        <v>3.4581673306772905E-3</v>
      </c>
      <c r="J28" s="79">
        <f t="shared" si="1"/>
        <v>2.8340080971659919E-2</v>
      </c>
      <c r="K28" s="79">
        <f t="shared" si="1"/>
        <v>0.78445804270614916</v>
      </c>
      <c r="L28" s="79">
        <f t="shared" si="1"/>
        <v>3.3833435394978566E-2</v>
      </c>
      <c r="M28" s="79">
        <f t="shared" si="1"/>
        <v>3.3833435394978566E-2</v>
      </c>
      <c r="N28" s="79">
        <f t="shared" si="1"/>
        <v>0.97987036939453021</v>
      </c>
      <c r="O28" s="79">
        <f t="shared" si="1"/>
        <v>1.292866769829781E-2</v>
      </c>
      <c r="P28" s="79">
        <f t="shared" si="1"/>
        <v>3.1911235414135391E-3</v>
      </c>
      <c r="Q28" s="79">
        <f t="shared" si="1"/>
        <v>2.8657616892911013E-2</v>
      </c>
      <c r="R28" s="79">
        <f t="shared" si="1"/>
        <v>0.77802618971574578</v>
      </c>
      <c r="S28" s="79">
        <f t="shared" si="1"/>
        <v>3.2117780294450733E-2</v>
      </c>
      <c r="T28" s="79">
        <f t="shared" si="1"/>
        <v>3.2117780294450733E-2</v>
      </c>
      <c r="U28" s="79">
        <f t="shared" si="1"/>
        <v>0.97875721130341253</v>
      </c>
      <c r="V28" s="79">
        <f t="shared" si="1"/>
        <v>1.2949673920665717E-2</v>
      </c>
      <c r="X28" s="4" t="s">
        <v>115</v>
      </c>
    </row>
    <row r="29" spans="1:24" x14ac:dyDescent="0.25">
      <c r="B29" s="79">
        <f>SUMIFS(B8:B25,$X8:$X25,$X29)/B7</f>
        <v>1.0048568079048736E-4</v>
      </c>
      <c r="C29" s="79">
        <f t="shared" ref="C29:V29" si="2">SUMIFS(C8:C25,$X8:$X25,$X29)/C7</f>
        <v>0</v>
      </c>
      <c r="D29" s="79">
        <f t="shared" si="2"/>
        <v>0</v>
      </c>
      <c r="E29" s="79">
        <f t="shared" si="2"/>
        <v>0</v>
      </c>
      <c r="F29" s="79">
        <f t="shared" si="2"/>
        <v>0</v>
      </c>
      <c r="G29" s="79">
        <f t="shared" si="2"/>
        <v>0</v>
      </c>
      <c r="H29" s="79">
        <f t="shared" si="2"/>
        <v>0</v>
      </c>
      <c r="I29" s="79">
        <f t="shared" si="2"/>
        <v>1.7476759628154051E-3</v>
      </c>
      <c r="J29" s="79">
        <f t="shared" si="2"/>
        <v>2.4291497975708499E-3</v>
      </c>
      <c r="K29" s="79">
        <f t="shared" si="2"/>
        <v>5.1350079164705386E-4</v>
      </c>
      <c r="L29" s="79">
        <f t="shared" si="2"/>
        <v>1.0716472749540721E-3</v>
      </c>
      <c r="M29" s="79">
        <f t="shared" si="2"/>
        <v>1.0716472749540721E-3</v>
      </c>
      <c r="N29" s="79">
        <f t="shared" si="2"/>
        <v>6.0599673288717925E-4</v>
      </c>
      <c r="O29" s="79">
        <f t="shared" si="2"/>
        <v>3.1198522437977342E-4</v>
      </c>
      <c r="P29" s="79">
        <f t="shared" si="2"/>
        <v>1.5267875564521673E-3</v>
      </c>
      <c r="Q29" s="79">
        <f t="shared" si="2"/>
        <v>2.2624434389140269E-3</v>
      </c>
      <c r="R29" s="79">
        <f t="shared" si="2"/>
        <v>4.7908016608112428E-4</v>
      </c>
      <c r="S29" s="79">
        <f t="shared" si="2"/>
        <v>9.5130237825594556E-4</v>
      </c>
      <c r="T29" s="79">
        <f t="shared" si="2"/>
        <v>9.5130237825594556E-4</v>
      </c>
      <c r="U29" s="79">
        <f t="shared" si="2"/>
        <v>5.6223721521462796E-4</v>
      </c>
      <c r="V29" s="79">
        <f t="shared" si="2"/>
        <v>2.9218578340852244E-4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4.4196547144754314E-3</v>
      </c>
      <c r="J30" s="79">
        <f t="shared" si="3"/>
        <v>0.31174089068825911</v>
      </c>
      <c r="K30" s="79">
        <f t="shared" si="3"/>
        <v>9.3200393683940272E-2</v>
      </c>
      <c r="L30" s="79">
        <f t="shared" si="3"/>
        <v>8.2669932639314134E-3</v>
      </c>
      <c r="M30" s="79">
        <f t="shared" si="3"/>
        <v>8.2669932639314134E-3</v>
      </c>
      <c r="N30" s="79">
        <f t="shared" si="3"/>
        <v>5.190493755598883E-3</v>
      </c>
      <c r="O30" s="79">
        <f t="shared" si="3"/>
        <v>1.3852143962461939E-3</v>
      </c>
      <c r="P30" s="79">
        <f t="shared" si="3"/>
        <v>3.8146764173219317E-3</v>
      </c>
      <c r="Q30" s="79">
        <f t="shared" si="3"/>
        <v>0.29034690799396684</v>
      </c>
      <c r="R30" s="79">
        <f t="shared" si="3"/>
        <v>8.6953050143724064E-2</v>
      </c>
      <c r="S30" s="79">
        <f t="shared" si="3"/>
        <v>7.3386183465458657E-3</v>
      </c>
      <c r="T30" s="79">
        <f t="shared" si="3"/>
        <v>7.3386183465458657E-3</v>
      </c>
      <c r="U30" s="79">
        <f t="shared" si="3"/>
        <v>4.8156839737948567E-3</v>
      </c>
      <c r="V30" s="79">
        <f t="shared" si="3"/>
        <v>1.2973048783338397E-3</v>
      </c>
      <c r="X30" s="4" t="s">
        <v>113</v>
      </c>
    </row>
    <row r="33" spans="1:24" x14ac:dyDescent="0.25">
      <c r="A33" t="s">
        <v>318</v>
      </c>
    </row>
    <row r="34" spans="1:24" x14ac:dyDescent="0.25">
      <c r="A34" s="77" t="s">
        <v>214</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2.9855</v>
      </c>
      <c r="C38">
        <v>9.1000000000000004E-3</v>
      </c>
      <c r="D38">
        <v>0.16800000000000001</v>
      </c>
      <c r="E38">
        <v>0.24790000000000001</v>
      </c>
      <c r="F38">
        <v>0.24790000000000001</v>
      </c>
      <c r="G38">
        <v>0.2954</v>
      </c>
      <c r="H38">
        <v>0.54300000000000004</v>
      </c>
      <c r="I38">
        <v>18.824999999999999</v>
      </c>
      <c r="J38">
        <v>0.1235</v>
      </c>
      <c r="K38">
        <v>2.3369</v>
      </c>
      <c r="L38">
        <v>0.7389</v>
      </c>
      <c r="M38">
        <v>0.7389</v>
      </c>
      <c r="N38">
        <v>1.9803999999999999</v>
      </c>
      <c r="O38">
        <v>8.0131999999999994</v>
      </c>
      <c r="P38">
        <v>21.810500000000001</v>
      </c>
      <c r="Q38">
        <v>0.1326</v>
      </c>
      <c r="R38">
        <v>2.5047999999999999</v>
      </c>
      <c r="S38">
        <v>0.98680000000000001</v>
      </c>
      <c r="T38">
        <v>0.98680000000000001</v>
      </c>
      <c r="U38">
        <v>2.2757999999999998</v>
      </c>
      <c r="V38">
        <v>8.5562000000000005</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7.0000000000000001E-3</v>
      </c>
      <c r="E41">
        <v>2.0000000000000001E-4</v>
      </c>
      <c r="F41">
        <v>2.0000000000000001E-4</v>
      </c>
      <c r="G41">
        <v>4.8999999999999998E-3</v>
      </c>
      <c r="H41">
        <v>2.9999999999999997E-4</v>
      </c>
      <c r="I41">
        <v>1.3299999999999999E-2</v>
      </c>
      <c r="J41">
        <v>6.9999999999999999E-4</v>
      </c>
      <c r="K41">
        <v>0.53610000000000002</v>
      </c>
      <c r="L41">
        <v>7.4999999999999997E-3</v>
      </c>
      <c r="M41">
        <v>7.4999999999999997E-3</v>
      </c>
      <c r="N41">
        <v>0.38990000000000002</v>
      </c>
      <c r="O41">
        <v>2.12E-2</v>
      </c>
      <c r="P41">
        <v>1.35E-2</v>
      </c>
      <c r="Q41">
        <v>6.9999999999999999E-4</v>
      </c>
      <c r="R41">
        <v>0.54310000000000003</v>
      </c>
      <c r="S41">
        <v>7.7000000000000002E-3</v>
      </c>
      <c r="T41">
        <v>7.7000000000000002E-3</v>
      </c>
      <c r="U41">
        <v>0.39479999999999998</v>
      </c>
      <c r="V41">
        <v>2.1499999999999998E-2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2.87E-2</v>
      </c>
      <c r="J44">
        <v>2.9999999999999997E-4</v>
      </c>
      <c r="K44">
        <v>1E-3</v>
      </c>
      <c r="L44">
        <v>5.0000000000000001E-4</v>
      </c>
      <c r="M44">
        <v>5.0000000000000001E-4</v>
      </c>
      <c r="N44">
        <v>1E-3</v>
      </c>
      <c r="O44">
        <v>2.2000000000000001E-3</v>
      </c>
      <c r="P44">
        <v>2.8799999999999999E-2</v>
      </c>
      <c r="Q44">
        <v>2.9999999999999997E-4</v>
      </c>
      <c r="R44">
        <v>1E-3</v>
      </c>
      <c r="S44">
        <v>5.0000000000000001E-4</v>
      </c>
      <c r="T44">
        <v>5.0000000000000001E-4</v>
      </c>
      <c r="U44">
        <v>1.1000000000000001E-3</v>
      </c>
      <c r="V44">
        <v>2.2000000000000001E-3</v>
      </c>
      <c r="W44" s="4" t="s">
        <v>122</v>
      </c>
      <c r="X44" s="4" t="s">
        <v>114</v>
      </c>
    </row>
    <row r="45" spans="1:24" x14ac:dyDescent="0.25">
      <c r="A45" s="4">
        <v>2104004000</v>
      </c>
      <c r="B45">
        <v>4.3E-3</v>
      </c>
      <c r="C45">
        <v>2.0000000000000001E-4</v>
      </c>
      <c r="D45">
        <v>0.1087</v>
      </c>
      <c r="E45">
        <v>4.4000000000000003E-3</v>
      </c>
      <c r="F45">
        <v>4.4000000000000003E-3</v>
      </c>
      <c r="G45">
        <v>0.27989999999999998</v>
      </c>
      <c r="H45">
        <v>6.8999999999999999E-3</v>
      </c>
      <c r="I45">
        <v>5.1799999999999999E-2</v>
      </c>
      <c r="J45">
        <v>2.8E-3</v>
      </c>
      <c r="K45">
        <v>1.2970999999999999</v>
      </c>
      <c r="L45">
        <v>1.4500000000000001E-2</v>
      </c>
      <c r="M45">
        <v>1.4500000000000001E-2</v>
      </c>
      <c r="N45">
        <v>1.5246999999999999</v>
      </c>
      <c r="O45">
        <v>8.2400000000000001E-2</v>
      </c>
      <c r="P45">
        <v>5.6099999999999997E-2</v>
      </c>
      <c r="Q45">
        <v>3.0999999999999999E-3</v>
      </c>
      <c r="R45">
        <v>1.4056999999999999</v>
      </c>
      <c r="S45">
        <v>1.89E-2</v>
      </c>
      <c r="T45">
        <v>1.89E-2</v>
      </c>
      <c r="U45">
        <v>1.8047</v>
      </c>
      <c r="V45">
        <v>8.9300000000000004E-2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0.1096</v>
      </c>
      <c r="C47">
        <v>8.0000000000000004E-4</v>
      </c>
      <c r="D47">
        <v>1.1000000000000001E-3</v>
      </c>
      <c r="E47">
        <v>1.4999999999999999E-2</v>
      </c>
      <c r="F47">
        <v>1.4999999999999999E-2</v>
      </c>
      <c r="G47">
        <v>2.0000000000000001E-4</v>
      </c>
      <c r="H47">
        <v>9.9299999999999999E-2</v>
      </c>
      <c r="I47">
        <v>6.5603999999999996</v>
      </c>
      <c r="J47">
        <v>4.6699999999999998E-2</v>
      </c>
      <c r="K47">
        <v>6.7500000000000004E-2</v>
      </c>
      <c r="L47">
        <v>0.26729999999999998</v>
      </c>
      <c r="M47">
        <v>0.26729999999999998</v>
      </c>
      <c r="N47">
        <v>5.8999999999999999E-3</v>
      </c>
      <c r="O47">
        <v>5.9474</v>
      </c>
      <c r="P47">
        <v>6.6699000000000002</v>
      </c>
      <c r="Q47">
        <v>4.7500000000000001E-2</v>
      </c>
      <c r="R47">
        <v>6.8699999999999997E-2</v>
      </c>
      <c r="S47">
        <v>0.2823</v>
      </c>
      <c r="T47">
        <v>0.2823</v>
      </c>
      <c r="U47">
        <v>6.1000000000000004E-3</v>
      </c>
      <c r="V47">
        <v>6.0468000000000002</v>
      </c>
      <c r="W47" s="4" t="s">
        <v>125</v>
      </c>
      <c r="X47" s="4" t="s">
        <v>116</v>
      </c>
    </row>
    <row r="48" spans="1:24" x14ac:dyDescent="0.25">
      <c r="A48" s="4">
        <v>2104008210</v>
      </c>
      <c r="B48">
        <v>5.4699999999999999E-2</v>
      </c>
      <c r="C48">
        <v>4.0000000000000002E-4</v>
      </c>
      <c r="D48">
        <v>6.9999999999999999E-4</v>
      </c>
      <c r="E48">
        <v>7.3000000000000001E-3</v>
      </c>
      <c r="F48">
        <v>7.3000000000000001E-3</v>
      </c>
      <c r="G48">
        <v>1E-4</v>
      </c>
      <c r="H48">
        <v>1.26E-2</v>
      </c>
      <c r="I48">
        <v>0.22670000000000001</v>
      </c>
      <c r="J48">
        <v>1.6999999999999999E-3</v>
      </c>
      <c r="K48">
        <v>2.7000000000000001E-3</v>
      </c>
      <c r="L48">
        <v>8.6999999999999994E-3</v>
      </c>
      <c r="M48">
        <v>8.6999999999999994E-3</v>
      </c>
      <c r="N48">
        <v>2.0000000000000001E-4</v>
      </c>
      <c r="O48">
        <v>5.1999999999999998E-2</v>
      </c>
      <c r="P48">
        <v>0.28139999999999998</v>
      </c>
      <c r="Q48">
        <v>2.0999999999999999E-3</v>
      </c>
      <c r="R48">
        <v>3.3999999999999998E-3</v>
      </c>
      <c r="S48">
        <v>1.6E-2</v>
      </c>
      <c r="T48">
        <v>1.6E-2</v>
      </c>
      <c r="U48">
        <v>2.9999999999999997E-4</v>
      </c>
      <c r="V48">
        <v>6.4600000000000005E-2</v>
      </c>
      <c r="W48" s="4" t="s">
        <v>126</v>
      </c>
      <c r="X48" s="4" t="s">
        <v>116</v>
      </c>
    </row>
    <row r="49" spans="1:24" x14ac:dyDescent="0.25">
      <c r="A49" s="4">
        <v>2104008220</v>
      </c>
      <c r="B49">
        <v>0.12690000000000001</v>
      </c>
      <c r="C49">
        <v>8.0000000000000004E-4</v>
      </c>
      <c r="D49">
        <v>1.8E-3</v>
      </c>
      <c r="E49">
        <v>1.0800000000000001E-2</v>
      </c>
      <c r="F49">
        <v>1.0800000000000001E-2</v>
      </c>
      <c r="G49">
        <v>4.0000000000000002E-4</v>
      </c>
      <c r="H49">
        <v>1.0800000000000001E-2</v>
      </c>
      <c r="I49">
        <v>0.52580000000000005</v>
      </c>
      <c r="J49">
        <v>3.3999999999999998E-3</v>
      </c>
      <c r="K49">
        <v>7.4999999999999997E-3</v>
      </c>
      <c r="L49">
        <v>2.2200000000000001E-2</v>
      </c>
      <c r="M49">
        <v>2.2200000000000001E-2</v>
      </c>
      <c r="N49">
        <v>1.4E-3</v>
      </c>
      <c r="O49">
        <v>4.48E-2</v>
      </c>
      <c r="P49">
        <v>0.65269999999999995</v>
      </c>
      <c r="Q49">
        <v>4.1999999999999997E-3</v>
      </c>
      <c r="R49">
        <v>9.2999999999999992E-3</v>
      </c>
      <c r="S49">
        <v>3.3000000000000002E-2</v>
      </c>
      <c r="T49">
        <v>3.3000000000000002E-2</v>
      </c>
      <c r="U49">
        <v>1.8E-3</v>
      </c>
      <c r="V49">
        <v>5.5599999999999997E-2</v>
      </c>
      <c r="W49" s="4" t="s">
        <v>127</v>
      </c>
      <c r="X49" s="4" t="s">
        <v>116</v>
      </c>
    </row>
    <row r="50" spans="1:24" x14ac:dyDescent="0.25">
      <c r="A50" s="4">
        <v>2104008230</v>
      </c>
      <c r="B50">
        <v>0.14019999999999999</v>
      </c>
      <c r="C50">
        <v>1.1999999999999999E-3</v>
      </c>
      <c r="D50">
        <v>2.5999999999999999E-3</v>
      </c>
      <c r="E50">
        <v>1.7000000000000001E-2</v>
      </c>
      <c r="F50">
        <v>1.7000000000000001E-2</v>
      </c>
      <c r="G50">
        <v>5.0000000000000001E-4</v>
      </c>
      <c r="H50">
        <v>1.9599999999999999E-2</v>
      </c>
      <c r="I50">
        <v>0.58079999999999998</v>
      </c>
      <c r="J50">
        <v>4.8999999999999998E-3</v>
      </c>
      <c r="K50">
        <v>1.09E-2</v>
      </c>
      <c r="L50">
        <v>3.1899999999999998E-2</v>
      </c>
      <c r="M50">
        <v>3.1899999999999998E-2</v>
      </c>
      <c r="N50">
        <v>2E-3</v>
      </c>
      <c r="O50">
        <v>8.14E-2</v>
      </c>
      <c r="P50">
        <v>0.72089999999999999</v>
      </c>
      <c r="Q50">
        <v>6.1000000000000004E-3</v>
      </c>
      <c r="R50">
        <v>1.35E-2</v>
      </c>
      <c r="S50">
        <v>4.8899999999999999E-2</v>
      </c>
      <c r="T50">
        <v>4.8899999999999999E-2</v>
      </c>
      <c r="U50">
        <v>2.5000000000000001E-3</v>
      </c>
      <c r="V50">
        <v>0.1011</v>
      </c>
      <c r="W50" s="4" t="s">
        <v>128</v>
      </c>
      <c r="X50" s="4" t="s">
        <v>116</v>
      </c>
    </row>
    <row r="51" spans="1:24" x14ac:dyDescent="0.25">
      <c r="A51" s="4">
        <v>2104008310</v>
      </c>
      <c r="B51">
        <v>0.23499999999999999</v>
      </c>
      <c r="C51">
        <v>8.0000000000000004E-4</v>
      </c>
      <c r="D51">
        <v>2.8E-3</v>
      </c>
      <c r="E51">
        <v>2.35E-2</v>
      </c>
      <c r="F51">
        <v>2.35E-2</v>
      </c>
      <c r="G51">
        <v>8.0000000000000004E-4</v>
      </c>
      <c r="H51">
        <v>0.1028</v>
      </c>
      <c r="I51">
        <v>0.97360000000000002</v>
      </c>
      <c r="J51">
        <v>3.2000000000000002E-3</v>
      </c>
      <c r="K51">
        <v>1.17E-2</v>
      </c>
      <c r="L51">
        <v>2.8500000000000001E-2</v>
      </c>
      <c r="M51">
        <v>2.8500000000000001E-2</v>
      </c>
      <c r="N51">
        <v>1.8E-3</v>
      </c>
      <c r="O51">
        <v>0.42580000000000001</v>
      </c>
      <c r="P51">
        <v>1.2085999999999999</v>
      </c>
      <c r="Q51">
        <v>4.0000000000000001E-3</v>
      </c>
      <c r="R51">
        <v>1.4500000000000001E-2</v>
      </c>
      <c r="S51">
        <v>5.21E-2</v>
      </c>
      <c r="T51">
        <v>5.21E-2</v>
      </c>
      <c r="U51">
        <v>2.5999999999999999E-3</v>
      </c>
      <c r="V51">
        <v>0.52859999999999996</v>
      </c>
      <c r="W51" s="4" t="s">
        <v>129</v>
      </c>
      <c r="X51" s="4" t="s">
        <v>116</v>
      </c>
    </row>
    <row r="52" spans="1:24" x14ac:dyDescent="0.25">
      <c r="A52" s="4">
        <v>2104008320</v>
      </c>
      <c r="B52">
        <v>0.91169999999999995</v>
      </c>
      <c r="C52">
        <v>1.8E-3</v>
      </c>
      <c r="D52">
        <v>1.1900000000000001E-2</v>
      </c>
      <c r="E52">
        <v>5.8400000000000001E-2</v>
      </c>
      <c r="F52">
        <v>5.8400000000000001E-2</v>
      </c>
      <c r="G52">
        <v>2.8999999999999998E-3</v>
      </c>
      <c r="H52">
        <v>8.8499999999999995E-2</v>
      </c>
      <c r="I52">
        <v>3.7772999999999999</v>
      </c>
      <c r="J52">
        <v>7.6E-3</v>
      </c>
      <c r="K52">
        <v>4.9200000000000001E-2</v>
      </c>
      <c r="L52">
        <v>0.11899999999999999</v>
      </c>
      <c r="M52">
        <v>0.11899999999999999</v>
      </c>
      <c r="N52">
        <v>1.15E-2</v>
      </c>
      <c r="O52">
        <v>0.36659999999999998</v>
      </c>
      <c r="P52">
        <v>4.6890000000000001</v>
      </c>
      <c r="Q52">
        <v>9.4999999999999998E-3</v>
      </c>
      <c r="R52">
        <v>6.0999999999999999E-2</v>
      </c>
      <c r="S52">
        <v>0.17749999999999999</v>
      </c>
      <c r="T52">
        <v>0.17749999999999999</v>
      </c>
      <c r="U52">
        <v>1.44E-2</v>
      </c>
      <c r="V52">
        <v>0.4551</v>
      </c>
      <c r="W52" s="4" t="s">
        <v>130</v>
      </c>
      <c r="X52" s="4" t="s">
        <v>116</v>
      </c>
    </row>
    <row r="53" spans="1:24" x14ac:dyDescent="0.25">
      <c r="A53" s="4">
        <v>2104008330</v>
      </c>
      <c r="B53">
        <v>1.3250999999999999</v>
      </c>
      <c r="C53">
        <v>2.7000000000000001E-3</v>
      </c>
      <c r="D53">
        <v>1.72E-2</v>
      </c>
      <c r="E53">
        <v>9.4200000000000006E-2</v>
      </c>
      <c r="F53">
        <v>9.4200000000000006E-2</v>
      </c>
      <c r="G53">
        <v>4.3E-3</v>
      </c>
      <c r="H53">
        <v>0.1608</v>
      </c>
      <c r="I53">
        <v>5.4904999999999999</v>
      </c>
      <c r="J53">
        <v>1.11E-2</v>
      </c>
      <c r="K53">
        <v>7.1400000000000005E-2</v>
      </c>
      <c r="L53">
        <v>0.18579999999999999</v>
      </c>
      <c r="M53">
        <v>0.18579999999999999</v>
      </c>
      <c r="N53">
        <v>1.67E-2</v>
      </c>
      <c r="O53">
        <v>0.66610000000000003</v>
      </c>
      <c r="P53">
        <v>6.8155999999999999</v>
      </c>
      <c r="Q53">
        <v>1.38E-2</v>
      </c>
      <c r="R53">
        <v>8.8700000000000001E-2</v>
      </c>
      <c r="S53">
        <v>0.28000000000000003</v>
      </c>
      <c r="T53">
        <v>0.28000000000000003</v>
      </c>
      <c r="U53">
        <v>2.1000000000000001E-2</v>
      </c>
      <c r="V53">
        <v>0.82689999999999997</v>
      </c>
      <c r="W53" s="4" t="s">
        <v>131</v>
      </c>
      <c r="X53" s="4" t="s">
        <v>116</v>
      </c>
    </row>
    <row r="54" spans="1:24" x14ac:dyDescent="0.25">
      <c r="A54" s="4">
        <v>2104008410</v>
      </c>
      <c r="B54">
        <v>3.0999999999999999E-3</v>
      </c>
      <c r="C54">
        <v>0</v>
      </c>
      <c r="D54">
        <v>1.2999999999999999E-3</v>
      </c>
      <c r="E54">
        <v>8.9999999999999998E-4</v>
      </c>
      <c r="F54">
        <v>8.9999999999999998E-4</v>
      </c>
      <c r="G54">
        <v>1E-4</v>
      </c>
      <c r="H54">
        <v>6.9999999999999999E-4</v>
      </c>
      <c r="I54">
        <v>1.29E-2</v>
      </c>
      <c r="J54">
        <v>1E-4</v>
      </c>
      <c r="K54">
        <v>5.1999999999999998E-3</v>
      </c>
      <c r="L54">
        <v>1.9E-3</v>
      </c>
      <c r="M54">
        <v>1.9E-3</v>
      </c>
      <c r="N54">
        <v>4.0000000000000002E-4</v>
      </c>
      <c r="O54">
        <v>3.0000000000000001E-3</v>
      </c>
      <c r="P54">
        <v>1.6E-2</v>
      </c>
      <c r="Q54">
        <v>1E-4</v>
      </c>
      <c r="R54">
        <v>6.4999999999999997E-3</v>
      </c>
      <c r="S54">
        <v>2.8E-3</v>
      </c>
      <c r="T54">
        <v>2.8E-3</v>
      </c>
      <c r="U54">
        <v>5.0000000000000001E-4</v>
      </c>
      <c r="V54">
        <v>3.7000000000000002E-3</v>
      </c>
      <c r="W54" s="4" t="s">
        <v>132</v>
      </c>
      <c r="X54" s="4" t="s">
        <v>116</v>
      </c>
    </row>
    <row r="55" spans="1:24" x14ac:dyDescent="0.25">
      <c r="A55" s="4">
        <v>2104008420</v>
      </c>
      <c r="B55">
        <v>2.9100000000000001E-2</v>
      </c>
      <c r="C55">
        <v>2.0000000000000001E-4</v>
      </c>
      <c r="D55">
        <v>1.17E-2</v>
      </c>
      <c r="E55">
        <v>8.6999999999999994E-3</v>
      </c>
      <c r="F55">
        <v>8.6999999999999994E-3</v>
      </c>
      <c r="G55">
        <v>8.9999999999999998E-4</v>
      </c>
      <c r="H55">
        <v>6.7000000000000002E-3</v>
      </c>
      <c r="I55">
        <v>0.12039999999999999</v>
      </c>
      <c r="J55">
        <v>8.9999999999999998E-4</v>
      </c>
      <c r="K55">
        <v>4.8599999999999997E-2</v>
      </c>
      <c r="L55">
        <v>1.66E-2</v>
      </c>
      <c r="M55">
        <v>1.66E-2</v>
      </c>
      <c r="N55">
        <v>3.3999999999999998E-3</v>
      </c>
      <c r="O55">
        <v>2.7799999999999998E-2</v>
      </c>
      <c r="P55">
        <v>0.14949999999999999</v>
      </c>
      <c r="Q55">
        <v>1.1000000000000001E-3</v>
      </c>
      <c r="R55">
        <v>6.0299999999999999E-2</v>
      </c>
      <c r="S55">
        <v>2.52E-2</v>
      </c>
      <c r="T55">
        <v>2.52E-2</v>
      </c>
      <c r="U55">
        <v>4.4000000000000003E-3</v>
      </c>
      <c r="V55">
        <v>3.4500000000000003E-2</v>
      </c>
      <c r="W55" s="4" t="s">
        <v>133</v>
      </c>
      <c r="X55" s="4" t="s">
        <v>116</v>
      </c>
    </row>
    <row r="56" spans="1:24" x14ac:dyDescent="0.25">
      <c r="A56" s="4">
        <v>2104008610</v>
      </c>
      <c r="B56">
        <v>4.5199999999999997E-2</v>
      </c>
      <c r="C56">
        <v>2.0000000000000001E-4</v>
      </c>
      <c r="D56">
        <v>1.1999999999999999E-3</v>
      </c>
      <c r="E56">
        <v>7.4000000000000003E-3</v>
      </c>
      <c r="F56">
        <v>7.4000000000000003E-3</v>
      </c>
      <c r="G56">
        <v>2.9999999999999997E-4</v>
      </c>
      <c r="H56">
        <v>3.3799999999999997E-2</v>
      </c>
      <c r="I56">
        <v>0.37369999999999998</v>
      </c>
      <c r="J56">
        <v>1.5E-3</v>
      </c>
      <c r="K56">
        <v>9.9000000000000008E-3</v>
      </c>
      <c r="L56">
        <v>1.78E-2</v>
      </c>
      <c r="M56">
        <v>1.78E-2</v>
      </c>
      <c r="N56">
        <v>1.5E-3</v>
      </c>
      <c r="O56">
        <v>0.28010000000000002</v>
      </c>
      <c r="P56">
        <v>0.41880000000000001</v>
      </c>
      <c r="Q56">
        <v>1.6999999999999999E-3</v>
      </c>
      <c r="R56">
        <v>1.12E-2</v>
      </c>
      <c r="S56">
        <v>2.52E-2</v>
      </c>
      <c r="T56">
        <v>2.52E-2</v>
      </c>
      <c r="U56">
        <v>1.8E-3</v>
      </c>
      <c r="V56">
        <v>0.31390000000000001</v>
      </c>
      <c r="W56" s="4" t="s">
        <v>134</v>
      </c>
      <c r="X56" s="4" t="s">
        <v>116</v>
      </c>
    </row>
    <row r="58" spans="1:24" x14ac:dyDescent="0.25">
      <c r="B58" s="79">
        <f>SUMIFS(B39:B56,$X39:$X56,$X58)/B38</f>
        <v>0.99845921956121242</v>
      </c>
      <c r="C58" s="79">
        <f t="shared" ref="C58:V58" si="4">SUMIFS(C39:C56,$X39:$X56,$X58)/C38</f>
        <v>0.97802197802197821</v>
      </c>
      <c r="D58" s="79">
        <f t="shared" si="4"/>
        <v>0.31130952380952381</v>
      </c>
      <c r="E58" s="79">
        <f t="shared" si="4"/>
        <v>0.981040742234772</v>
      </c>
      <c r="F58" s="79">
        <f t="shared" si="4"/>
        <v>0.981040742234772</v>
      </c>
      <c r="G58" s="79">
        <f t="shared" si="4"/>
        <v>3.5545023696682464E-2</v>
      </c>
      <c r="H58" s="79">
        <f t="shared" si="4"/>
        <v>0.9867403314917127</v>
      </c>
      <c r="I58" s="79">
        <f t="shared" si="4"/>
        <v>0.99037981407702524</v>
      </c>
      <c r="J58" s="79">
        <f t="shared" si="4"/>
        <v>0.65668016194331991</v>
      </c>
      <c r="K58" s="79">
        <f t="shared" si="4"/>
        <v>0.12178527108562627</v>
      </c>
      <c r="L58" s="79">
        <f t="shared" si="4"/>
        <v>0.94735417512518605</v>
      </c>
      <c r="M58" s="79">
        <f t="shared" si="4"/>
        <v>0.94735417512518605</v>
      </c>
      <c r="N58" s="79">
        <f t="shared" si="4"/>
        <v>2.262169258735609E-2</v>
      </c>
      <c r="O58" s="79">
        <f t="shared" si="4"/>
        <v>0.98536165327210112</v>
      </c>
      <c r="P58" s="79">
        <f t="shared" si="4"/>
        <v>0.9914719974324292</v>
      </c>
      <c r="Q58" s="79">
        <f t="shared" si="4"/>
        <v>0.67948717948717952</v>
      </c>
      <c r="R58" s="79">
        <f t="shared" si="4"/>
        <v>0.1345816033216225</v>
      </c>
      <c r="S58" s="79">
        <f t="shared" si="4"/>
        <v>0.95591811917308478</v>
      </c>
      <c r="T58" s="79">
        <f t="shared" si="4"/>
        <v>0.95591811917308478</v>
      </c>
      <c r="U58" s="79">
        <f t="shared" si="4"/>
        <v>2.43430881448282E-2</v>
      </c>
      <c r="V58" s="79">
        <f t="shared" si="4"/>
        <v>0.985460835417592</v>
      </c>
      <c r="X58" s="4" t="s">
        <v>116</v>
      </c>
    </row>
    <row r="59" spans="1:24" x14ac:dyDescent="0.25">
      <c r="B59" s="79">
        <f>SUMIFS(B39:B56,$X39:$X56,$X59)/B38</f>
        <v>1.5072852118573103E-3</v>
      </c>
      <c r="C59" s="79">
        <f t="shared" ref="C59:V59" si="5">SUMIFS(C39:C56,$X39:$X56,$X59)/C38</f>
        <v>2.1978021978021976E-2</v>
      </c>
      <c r="D59" s="79">
        <f t="shared" si="5"/>
        <v>0.68869047619047619</v>
      </c>
      <c r="E59" s="79">
        <f t="shared" si="5"/>
        <v>1.8555869302137956E-2</v>
      </c>
      <c r="F59" s="79">
        <f t="shared" si="5"/>
        <v>1.8555869302137956E-2</v>
      </c>
      <c r="G59" s="79">
        <f t="shared" si="5"/>
        <v>0.96411645226811105</v>
      </c>
      <c r="H59" s="79">
        <f t="shared" si="5"/>
        <v>1.3259668508287291E-2</v>
      </c>
      <c r="I59" s="79">
        <f t="shared" si="5"/>
        <v>3.4581673306772905E-3</v>
      </c>
      <c r="J59" s="79">
        <f t="shared" si="5"/>
        <v>2.8340080971659919E-2</v>
      </c>
      <c r="K59" s="79">
        <f t="shared" si="5"/>
        <v>0.78445804270614916</v>
      </c>
      <c r="L59" s="79">
        <f t="shared" si="5"/>
        <v>2.9773988361077277E-2</v>
      </c>
      <c r="M59" s="79">
        <f t="shared" si="5"/>
        <v>2.9773988361077277E-2</v>
      </c>
      <c r="N59" s="79">
        <f t="shared" si="5"/>
        <v>0.96677438901232082</v>
      </c>
      <c r="O59" s="79">
        <f t="shared" si="5"/>
        <v>1.292866769829781E-2</v>
      </c>
      <c r="P59" s="79">
        <f t="shared" si="5"/>
        <v>3.1911235414135391E-3</v>
      </c>
      <c r="Q59" s="79">
        <f t="shared" si="5"/>
        <v>2.8657616892911013E-2</v>
      </c>
      <c r="R59" s="79">
        <f t="shared" si="5"/>
        <v>0.77802618971574578</v>
      </c>
      <c r="S59" s="79">
        <f t="shared" si="5"/>
        <v>2.6955816781516009E-2</v>
      </c>
      <c r="T59" s="79">
        <f t="shared" si="5"/>
        <v>2.6955816781516009E-2</v>
      </c>
      <c r="U59" s="79">
        <f t="shared" si="5"/>
        <v>0.96647332806046238</v>
      </c>
      <c r="V59" s="79">
        <f t="shared" si="5"/>
        <v>1.2949673920665717E-2</v>
      </c>
      <c r="X59" s="4" t="s">
        <v>115</v>
      </c>
    </row>
    <row r="60" spans="1:24" x14ac:dyDescent="0.25">
      <c r="B60" s="79">
        <f>SUMIFS(B39:B56,$X39:$X56,$X60)/B38</f>
        <v>1.0048568079048736E-4</v>
      </c>
      <c r="C60" s="79">
        <f t="shared" ref="C60:V60" si="6">SUMIFS(C39:C56,$X39:$X56,$X60)/C38</f>
        <v>0</v>
      </c>
      <c r="D60" s="79">
        <f t="shared" si="6"/>
        <v>0</v>
      </c>
      <c r="E60" s="79">
        <f t="shared" si="6"/>
        <v>0</v>
      </c>
      <c r="F60" s="79">
        <f t="shared" si="6"/>
        <v>0</v>
      </c>
      <c r="G60" s="79">
        <f t="shared" si="6"/>
        <v>0</v>
      </c>
      <c r="H60" s="79">
        <f t="shared" si="6"/>
        <v>0</v>
      </c>
      <c r="I60" s="79">
        <f t="shared" si="6"/>
        <v>1.7476759628154051E-3</v>
      </c>
      <c r="J60" s="79">
        <f t="shared" si="6"/>
        <v>2.4291497975708499E-3</v>
      </c>
      <c r="K60" s="79">
        <f t="shared" si="6"/>
        <v>5.1350079164705386E-4</v>
      </c>
      <c r="L60" s="79">
        <f t="shared" si="6"/>
        <v>1.0826904858573555E-3</v>
      </c>
      <c r="M60" s="79">
        <f t="shared" si="6"/>
        <v>1.0826904858573555E-3</v>
      </c>
      <c r="N60" s="79">
        <f t="shared" si="6"/>
        <v>6.5643304382952941E-4</v>
      </c>
      <c r="O60" s="79">
        <f t="shared" si="6"/>
        <v>3.1198522437977342E-4</v>
      </c>
      <c r="P60" s="79">
        <f t="shared" si="6"/>
        <v>1.5267875564521673E-3</v>
      </c>
      <c r="Q60" s="79">
        <f t="shared" si="6"/>
        <v>2.2624434389140269E-3</v>
      </c>
      <c r="R60" s="79">
        <f t="shared" si="6"/>
        <v>4.7908016608112428E-4</v>
      </c>
      <c r="S60" s="79">
        <f t="shared" si="6"/>
        <v>8.1070125658694759E-4</v>
      </c>
      <c r="T60" s="79">
        <f t="shared" si="6"/>
        <v>8.1070125658694759E-4</v>
      </c>
      <c r="U60" s="79">
        <f t="shared" si="6"/>
        <v>6.1516829246858248E-4</v>
      </c>
      <c r="V60" s="79">
        <f t="shared" si="6"/>
        <v>2.9218578340852244E-4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4.4196547144754314E-3</v>
      </c>
      <c r="J61" s="79">
        <f t="shared" si="7"/>
        <v>0.31174089068825911</v>
      </c>
      <c r="K61" s="79">
        <f t="shared" si="7"/>
        <v>9.3200393683940272E-2</v>
      </c>
      <c r="L61" s="79">
        <f t="shared" si="7"/>
        <v>2.1924482338611447E-2</v>
      </c>
      <c r="M61" s="79">
        <f t="shared" si="7"/>
        <v>2.1924482338611447E-2</v>
      </c>
      <c r="N61" s="79">
        <f t="shared" si="7"/>
        <v>9.9474853564936374E-3</v>
      </c>
      <c r="O61" s="79">
        <f t="shared" si="7"/>
        <v>1.3852143962461939E-3</v>
      </c>
      <c r="P61" s="79">
        <f t="shared" si="7"/>
        <v>3.8146764173219317E-3</v>
      </c>
      <c r="Q61" s="79">
        <f t="shared" si="7"/>
        <v>0.29034690799396684</v>
      </c>
      <c r="R61" s="79">
        <f t="shared" si="7"/>
        <v>8.6953050143724064E-2</v>
      </c>
      <c r="S61" s="79">
        <f t="shared" si="7"/>
        <v>1.6416700445885689E-2</v>
      </c>
      <c r="T61" s="79">
        <f t="shared" si="7"/>
        <v>1.6416700445885689E-2</v>
      </c>
      <c r="U61" s="79">
        <f t="shared" si="7"/>
        <v>8.656296686879339E-3</v>
      </c>
      <c r="V61" s="79">
        <f t="shared" si="7"/>
        <v>1.2973048783338397E-3</v>
      </c>
      <c r="X61" s="4" t="s">
        <v>113</v>
      </c>
    </row>
    <row r="64" spans="1:24" x14ac:dyDescent="0.25">
      <c r="A64" t="s">
        <v>319</v>
      </c>
    </row>
    <row r="65" spans="1:24" x14ac:dyDescent="0.25">
      <c r="A65" s="77" t="s">
        <v>215</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2.9855</v>
      </c>
      <c r="C69">
        <v>9.1000000000000004E-3</v>
      </c>
      <c r="D69">
        <v>0.16800000000000001</v>
      </c>
      <c r="E69">
        <v>0.24790000000000001</v>
      </c>
      <c r="F69">
        <v>0.24790000000000001</v>
      </c>
      <c r="G69">
        <v>0.2954</v>
      </c>
      <c r="H69">
        <v>0.54300000000000004</v>
      </c>
      <c r="I69">
        <v>18.824999999999999</v>
      </c>
      <c r="J69" s="78">
        <v>0.1235</v>
      </c>
      <c r="K69" s="78">
        <v>2.3369</v>
      </c>
      <c r="L69">
        <v>0.7389</v>
      </c>
      <c r="M69" s="82">
        <v>0.7389</v>
      </c>
      <c r="N69" s="78">
        <v>1.9803999999999999</v>
      </c>
      <c r="O69" s="78">
        <v>8.0131999999999994</v>
      </c>
      <c r="P69">
        <v>21.810500000000001</v>
      </c>
      <c r="Q69" s="78">
        <v>0.1326</v>
      </c>
      <c r="R69" s="78">
        <v>2.5047999999999999</v>
      </c>
      <c r="S69">
        <v>0.98680000000000001</v>
      </c>
      <c r="T69" s="82">
        <v>0.98680000000000001</v>
      </c>
      <c r="U69" s="78">
        <v>2.2757999999999998</v>
      </c>
      <c r="V69" s="78">
        <v>8.5562000000000005</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7.0000000000000001E-3</v>
      </c>
      <c r="E72">
        <v>2.0000000000000001E-4</v>
      </c>
      <c r="F72">
        <v>2.0000000000000001E-4</v>
      </c>
      <c r="G72">
        <v>4.8999999999999998E-3</v>
      </c>
      <c r="H72">
        <v>2.9999999999999997E-4</v>
      </c>
      <c r="I72">
        <v>1.3299999999999999E-2</v>
      </c>
      <c r="J72">
        <v>6.9999999999999999E-4</v>
      </c>
      <c r="K72">
        <v>0.53610000000000002</v>
      </c>
      <c r="L72">
        <v>7.4999999999999997E-3</v>
      </c>
      <c r="M72">
        <v>7.4999999999999997E-3</v>
      </c>
      <c r="N72">
        <v>0.38990000000000002</v>
      </c>
      <c r="O72">
        <v>2.12E-2</v>
      </c>
      <c r="P72">
        <v>1.35E-2</v>
      </c>
      <c r="Q72">
        <v>6.9999999999999999E-4</v>
      </c>
      <c r="R72">
        <v>0.54310000000000003</v>
      </c>
      <c r="S72">
        <v>7.7000000000000002E-3</v>
      </c>
      <c r="T72">
        <v>7.7000000000000002E-3</v>
      </c>
      <c r="U72">
        <v>0.39479999999999998</v>
      </c>
      <c r="V72">
        <v>2.1499999999999998E-2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2.87E-2</v>
      </c>
      <c r="J75">
        <v>2.9999999999999997E-4</v>
      </c>
      <c r="K75">
        <v>1E-3</v>
      </c>
      <c r="L75">
        <v>5.0000000000000001E-4</v>
      </c>
      <c r="M75">
        <v>5.0000000000000001E-4</v>
      </c>
      <c r="N75">
        <v>1E-3</v>
      </c>
      <c r="O75">
        <v>2.2000000000000001E-3</v>
      </c>
      <c r="P75">
        <v>2.8799999999999999E-2</v>
      </c>
      <c r="Q75">
        <v>2.9999999999999997E-4</v>
      </c>
      <c r="R75">
        <v>1E-3</v>
      </c>
      <c r="S75">
        <v>5.0000000000000001E-4</v>
      </c>
      <c r="T75">
        <v>5.0000000000000001E-4</v>
      </c>
      <c r="U75">
        <v>1.1000000000000001E-3</v>
      </c>
      <c r="V75">
        <v>2.2000000000000001E-3</v>
      </c>
      <c r="W75" s="4" t="s">
        <v>122</v>
      </c>
      <c r="X75" s="4" t="s">
        <v>114</v>
      </c>
    </row>
    <row r="76" spans="1:24" x14ac:dyDescent="0.25">
      <c r="A76" s="4">
        <v>2104004000</v>
      </c>
      <c r="B76">
        <v>4.3E-3</v>
      </c>
      <c r="C76">
        <v>2.0000000000000001E-4</v>
      </c>
      <c r="D76">
        <v>0.1087</v>
      </c>
      <c r="E76">
        <v>4.4000000000000003E-3</v>
      </c>
      <c r="F76">
        <v>4.4000000000000003E-3</v>
      </c>
      <c r="G76">
        <v>0.27989999999999998</v>
      </c>
      <c r="H76">
        <v>6.8999999999999999E-3</v>
      </c>
      <c r="I76">
        <v>5.1799999999999999E-2</v>
      </c>
      <c r="J76">
        <v>2.8E-3</v>
      </c>
      <c r="K76">
        <v>1.2970999999999999</v>
      </c>
      <c r="L76">
        <v>1.4500000000000001E-2</v>
      </c>
      <c r="M76">
        <v>1.4500000000000001E-2</v>
      </c>
      <c r="N76">
        <v>1.5246999999999999</v>
      </c>
      <c r="O76">
        <v>8.2400000000000001E-2</v>
      </c>
      <c r="P76">
        <v>5.6099999999999997E-2</v>
      </c>
      <c r="Q76">
        <v>3.0999999999999999E-3</v>
      </c>
      <c r="R76">
        <v>1.4056999999999999</v>
      </c>
      <c r="S76">
        <v>1.89E-2</v>
      </c>
      <c r="T76">
        <v>1.89E-2</v>
      </c>
      <c r="U76">
        <v>1.8047</v>
      </c>
      <c r="V76">
        <v>8.9300000000000004E-2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0.1096</v>
      </c>
      <c r="C78">
        <v>8.0000000000000004E-4</v>
      </c>
      <c r="D78">
        <v>1.1000000000000001E-3</v>
      </c>
      <c r="E78">
        <v>1.4999999999999999E-2</v>
      </c>
      <c r="F78">
        <v>1.4999999999999999E-2</v>
      </c>
      <c r="G78">
        <v>2.0000000000000001E-4</v>
      </c>
      <c r="H78">
        <v>9.9299999999999999E-2</v>
      </c>
      <c r="I78">
        <v>6.5603999999999996</v>
      </c>
      <c r="J78">
        <v>4.6699999999999998E-2</v>
      </c>
      <c r="K78">
        <v>6.7500000000000004E-2</v>
      </c>
      <c r="L78">
        <v>0.26729999999999998</v>
      </c>
      <c r="M78">
        <v>0.26729999999999998</v>
      </c>
      <c r="N78">
        <v>5.8999999999999999E-3</v>
      </c>
      <c r="O78">
        <v>5.9474</v>
      </c>
      <c r="P78">
        <v>6.6699000000000002</v>
      </c>
      <c r="Q78">
        <v>4.7500000000000001E-2</v>
      </c>
      <c r="R78">
        <v>6.8699999999999997E-2</v>
      </c>
      <c r="S78">
        <v>0.2823</v>
      </c>
      <c r="T78">
        <v>0.2823</v>
      </c>
      <c r="U78">
        <v>6.1000000000000004E-3</v>
      </c>
      <c r="V78">
        <v>6.0468000000000002</v>
      </c>
      <c r="W78" s="4" t="s">
        <v>125</v>
      </c>
      <c r="X78" s="4" t="s">
        <v>116</v>
      </c>
    </row>
    <row r="79" spans="1:24" x14ac:dyDescent="0.25">
      <c r="A79" s="4">
        <v>2104008210</v>
      </c>
      <c r="B79">
        <v>5.4699999999999999E-2</v>
      </c>
      <c r="C79">
        <v>4.0000000000000002E-4</v>
      </c>
      <c r="D79">
        <v>6.9999999999999999E-4</v>
      </c>
      <c r="E79">
        <v>7.3000000000000001E-3</v>
      </c>
      <c r="F79">
        <v>7.3000000000000001E-3</v>
      </c>
      <c r="G79">
        <v>1E-4</v>
      </c>
      <c r="H79">
        <v>1.26E-2</v>
      </c>
      <c r="I79">
        <v>0.22670000000000001</v>
      </c>
      <c r="J79">
        <v>1.6999999999999999E-3</v>
      </c>
      <c r="K79">
        <v>2.7000000000000001E-3</v>
      </c>
      <c r="L79">
        <v>8.6999999999999994E-3</v>
      </c>
      <c r="M79">
        <v>8.6999999999999994E-3</v>
      </c>
      <c r="N79">
        <v>2.0000000000000001E-4</v>
      </c>
      <c r="O79">
        <v>5.1999999999999998E-2</v>
      </c>
      <c r="P79">
        <v>0.28139999999999998</v>
      </c>
      <c r="Q79">
        <v>2.0999999999999999E-3</v>
      </c>
      <c r="R79">
        <v>3.3999999999999998E-3</v>
      </c>
      <c r="S79">
        <v>1.6E-2</v>
      </c>
      <c r="T79">
        <v>1.6E-2</v>
      </c>
      <c r="U79">
        <v>2.9999999999999997E-4</v>
      </c>
      <c r="V79">
        <v>6.4600000000000005E-2</v>
      </c>
      <c r="W79" s="4" t="s">
        <v>126</v>
      </c>
      <c r="X79" s="4" t="s">
        <v>116</v>
      </c>
    </row>
    <row r="80" spans="1:24" x14ac:dyDescent="0.25">
      <c r="A80" s="4">
        <v>2104008220</v>
      </c>
      <c r="B80">
        <v>0.12690000000000001</v>
      </c>
      <c r="C80">
        <v>8.0000000000000004E-4</v>
      </c>
      <c r="D80">
        <v>1.8E-3</v>
      </c>
      <c r="E80">
        <v>1.0800000000000001E-2</v>
      </c>
      <c r="F80">
        <v>1.0800000000000001E-2</v>
      </c>
      <c r="G80">
        <v>4.0000000000000002E-4</v>
      </c>
      <c r="H80">
        <v>1.0800000000000001E-2</v>
      </c>
      <c r="I80">
        <v>0.52580000000000005</v>
      </c>
      <c r="J80">
        <v>3.3999999999999998E-3</v>
      </c>
      <c r="K80">
        <v>7.4999999999999997E-3</v>
      </c>
      <c r="L80">
        <v>2.2200000000000001E-2</v>
      </c>
      <c r="M80">
        <v>2.2200000000000001E-2</v>
      </c>
      <c r="N80">
        <v>1.4E-3</v>
      </c>
      <c r="O80">
        <v>4.48E-2</v>
      </c>
      <c r="P80">
        <v>0.65269999999999995</v>
      </c>
      <c r="Q80">
        <v>4.1999999999999997E-3</v>
      </c>
      <c r="R80">
        <v>9.2999999999999992E-3</v>
      </c>
      <c r="S80">
        <v>3.3000000000000002E-2</v>
      </c>
      <c r="T80">
        <v>3.3000000000000002E-2</v>
      </c>
      <c r="U80">
        <v>1.8E-3</v>
      </c>
      <c r="V80">
        <v>5.5599999999999997E-2</v>
      </c>
      <c r="W80" s="4" t="s">
        <v>127</v>
      </c>
      <c r="X80" s="4" t="s">
        <v>116</v>
      </c>
    </row>
    <row r="81" spans="1:24" x14ac:dyDescent="0.25">
      <c r="A81" s="4">
        <v>2104008230</v>
      </c>
      <c r="B81">
        <v>0.14019999999999999</v>
      </c>
      <c r="C81">
        <v>1.1999999999999999E-3</v>
      </c>
      <c r="D81">
        <v>2.5999999999999999E-3</v>
      </c>
      <c r="E81">
        <v>1.7000000000000001E-2</v>
      </c>
      <c r="F81">
        <v>1.7000000000000001E-2</v>
      </c>
      <c r="G81">
        <v>5.0000000000000001E-4</v>
      </c>
      <c r="H81">
        <v>1.9599999999999999E-2</v>
      </c>
      <c r="I81">
        <v>0.58079999999999998</v>
      </c>
      <c r="J81">
        <v>4.8999999999999998E-3</v>
      </c>
      <c r="K81">
        <v>1.09E-2</v>
      </c>
      <c r="L81">
        <v>3.1899999999999998E-2</v>
      </c>
      <c r="M81">
        <v>3.1899999999999998E-2</v>
      </c>
      <c r="N81">
        <v>2E-3</v>
      </c>
      <c r="O81">
        <v>8.14E-2</v>
      </c>
      <c r="P81">
        <v>0.72089999999999999</v>
      </c>
      <c r="Q81">
        <v>6.1000000000000004E-3</v>
      </c>
      <c r="R81">
        <v>1.35E-2</v>
      </c>
      <c r="S81">
        <v>4.8899999999999999E-2</v>
      </c>
      <c r="T81">
        <v>4.8899999999999999E-2</v>
      </c>
      <c r="U81">
        <v>2.5000000000000001E-3</v>
      </c>
      <c r="V81">
        <v>0.1011</v>
      </c>
      <c r="W81" s="4" t="s">
        <v>128</v>
      </c>
      <c r="X81" s="4" t="s">
        <v>116</v>
      </c>
    </row>
    <row r="82" spans="1:24" x14ac:dyDescent="0.25">
      <c r="A82" s="4">
        <v>2104008310</v>
      </c>
      <c r="B82">
        <v>0.23499999999999999</v>
      </c>
      <c r="C82">
        <v>8.0000000000000004E-4</v>
      </c>
      <c r="D82">
        <v>2.8E-3</v>
      </c>
      <c r="E82">
        <v>2.35E-2</v>
      </c>
      <c r="F82">
        <v>2.35E-2</v>
      </c>
      <c r="G82">
        <v>8.0000000000000004E-4</v>
      </c>
      <c r="H82">
        <v>0.1028</v>
      </c>
      <c r="I82">
        <v>0.97360000000000002</v>
      </c>
      <c r="J82">
        <v>3.2000000000000002E-3</v>
      </c>
      <c r="K82">
        <v>1.17E-2</v>
      </c>
      <c r="L82">
        <v>2.8500000000000001E-2</v>
      </c>
      <c r="M82">
        <v>2.8500000000000001E-2</v>
      </c>
      <c r="N82">
        <v>1.8E-3</v>
      </c>
      <c r="O82">
        <v>0.42580000000000001</v>
      </c>
      <c r="P82">
        <v>1.2085999999999999</v>
      </c>
      <c r="Q82">
        <v>4.0000000000000001E-3</v>
      </c>
      <c r="R82">
        <v>1.4500000000000001E-2</v>
      </c>
      <c r="S82">
        <v>5.21E-2</v>
      </c>
      <c r="T82">
        <v>5.21E-2</v>
      </c>
      <c r="U82">
        <v>2.5999999999999999E-3</v>
      </c>
      <c r="V82">
        <v>0.52859999999999996</v>
      </c>
      <c r="W82" s="4" t="s">
        <v>129</v>
      </c>
      <c r="X82" s="4" t="s">
        <v>116</v>
      </c>
    </row>
    <row r="83" spans="1:24" x14ac:dyDescent="0.25">
      <c r="A83" s="4">
        <v>2104008320</v>
      </c>
      <c r="B83">
        <v>0.91169999999999995</v>
      </c>
      <c r="C83">
        <v>1.8E-3</v>
      </c>
      <c r="D83">
        <v>1.1900000000000001E-2</v>
      </c>
      <c r="E83">
        <v>5.8400000000000001E-2</v>
      </c>
      <c r="F83">
        <v>5.8400000000000001E-2</v>
      </c>
      <c r="G83">
        <v>2.8999999999999998E-3</v>
      </c>
      <c r="H83">
        <v>8.8499999999999995E-2</v>
      </c>
      <c r="I83">
        <v>3.7772999999999999</v>
      </c>
      <c r="J83">
        <v>7.6E-3</v>
      </c>
      <c r="K83">
        <v>4.9200000000000001E-2</v>
      </c>
      <c r="L83">
        <v>0.11899999999999999</v>
      </c>
      <c r="M83">
        <v>0.11899999999999999</v>
      </c>
      <c r="N83">
        <v>1.15E-2</v>
      </c>
      <c r="O83">
        <v>0.36659999999999998</v>
      </c>
      <c r="P83">
        <v>4.6890000000000001</v>
      </c>
      <c r="Q83">
        <v>9.4999999999999998E-3</v>
      </c>
      <c r="R83">
        <v>6.0999999999999999E-2</v>
      </c>
      <c r="S83">
        <v>0.17749999999999999</v>
      </c>
      <c r="T83">
        <v>0.17749999999999999</v>
      </c>
      <c r="U83">
        <v>1.44E-2</v>
      </c>
      <c r="V83">
        <v>0.4551</v>
      </c>
      <c r="W83" s="4" t="s">
        <v>130</v>
      </c>
      <c r="X83" s="4" t="s">
        <v>116</v>
      </c>
    </row>
    <row r="84" spans="1:24" x14ac:dyDescent="0.25">
      <c r="A84" s="4">
        <v>2104008330</v>
      </c>
      <c r="B84">
        <v>1.3250999999999999</v>
      </c>
      <c r="C84">
        <v>2.7000000000000001E-3</v>
      </c>
      <c r="D84">
        <v>1.72E-2</v>
      </c>
      <c r="E84">
        <v>9.4200000000000006E-2</v>
      </c>
      <c r="F84">
        <v>9.4200000000000006E-2</v>
      </c>
      <c r="G84">
        <v>4.3E-3</v>
      </c>
      <c r="H84">
        <v>0.1608</v>
      </c>
      <c r="I84">
        <v>5.4904999999999999</v>
      </c>
      <c r="J84">
        <v>1.11E-2</v>
      </c>
      <c r="K84">
        <v>7.1400000000000005E-2</v>
      </c>
      <c r="L84">
        <v>0.18579999999999999</v>
      </c>
      <c r="M84">
        <v>0.18579999999999999</v>
      </c>
      <c r="N84">
        <v>1.67E-2</v>
      </c>
      <c r="O84">
        <v>0.66610000000000003</v>
      </c>
      <c r="P84">
        <v>6.8155999999999999</v>
      </c>
      <c r="Q84">
        <v>1.38E-2</v>
      </c>
      <c r="R84">
        <v>8.8700000000000001E-2</v>
      </c>
      <c r="S84">
        <v>0.28000000000000003</v>
      </c>
      <c r="T84">
        <v>0.28000000000000003</v>
      </c>
      <c r="U84">
        <v>2.1000000000000001E-2</v>
      </c>
      <c r="V84">
        <v>0.82689999999999997</v>
      </c>
      <c r="W84" s="4" t="s">
        <v>131</v>
      </c>
      <c r="X84" s="4" t="s">
        <v>116</v>
      </c>
    </row>
    <row r="85" spans="1:24" x14ac:dyDescent="0.25">
      <c r="A85" s="4">
        <v>2104008410</v>
      </c>
      <c r="B85">
        <v>3.0999999999999999E-3</v>
      </c>
      <c r="C85">
        <v>0</v>
      </c>
      <c r="D85">
        <v>1.2999999999999999E-3</v>
      </c>
      <c r="E85">
        <v>8.9999999999999998E-4</v>
      </c>
      <c r="F85">
        <v>8.9999999999999998E-4</v>
      </c>
      <c r="G85">
        <v>1E-4</v>
      </c>
      <c r="H85">
        <v>6.9999999999999999E-4</v>
      </c>
      <c r="I85">
        <v>1.29E-2</v>
      </c>
      <c r="J85">
        <v>1E-4</v>
      </c>
      <c r="K85">
        <v>5.1999999999999998E-3</v>
      </c>
      <c r="L85">
        <v>1.9E-3</v>
      </c>
      <c r="M85">
        <v>1.9E-3</v>
      </c>
      <c r="N85">
        <v>4.0000000000000002E-4</v>
      </c>
      <c r="O85">
        <v>3.0000000000000001E-3</v>
      </c>
      <c r="P85">
        <v>1.6E-2</v>
      </c>
      <c r="Q85">
        <v>1E-4</v>
      </c>
      <c r="R85">
        <v>6.4999999999999997E-3</v>
      </c>
      <c r="S85">
        <v>2.8E-3</v>
      </c>
      <c r="T85">
        <v>2.8E-3</v>
      </c>
      <c r="U85">
        <v>5.0000000000000001E-4</v>
      </c>
      <c r="V85">
        <v>3.7000000000000002E-3</v>
      </c>
      <c r="W85" s="4" t="s">
        <v>132</v>
      </c>
      <c r="X85" s="4" t="s">
        <v>116</v>
      </c>
    </row>
    <row r="86" spans="1:24" x14ac:dyDescent="0.25">
      <c r="A86" s="4">
        <v>2104008420</v>
      </c>
      <c r="B86">
        <v>2.9100000000000001E-2</v>
      </c>
      <c r="C86">
        <v>2.0000000000000001E-4</v>
      </c>
      <c r="D86">
        <v>1.17E-2</v>
      </c>
      <c r="E86">
        <v>8.6999999999999994E-3</v>
      </c>
      <c r="F86">
        <v>8.6999999999999994E-3</v>
      </c>
      <c r="G86">
        <v>8.9999999999999998E-4</v>
      </c>
      <c r="H86">
        <v>6.7000000000000002E-3</v>
      </c>
      <c r="I86">
        <v>0.12039999999999999</v>
      </c>
      <c r="J86">
        <v>8.9999999999999998E-4</v>
      </c>
      <c r="K86">
        <v>4.8599999999999997E-2</v>
      </c>
      <c r="L86">
        <v>1.66E-2</v>
      </c>
      <c r="M86">
        <v>1.66E-2</v>
      </c>
      <c r="N86">
        <v>3.3999999999999998E-3</v>
      </c>
      <c r="O86">
        <v>2.7799999999999998E-2</v>
      </c>
      <c r="P86">
        <v>0.14949999999999999</v>
      </c>
      <c r="Q86">
        <v>1.1000000000000001E-3</v>
      </c>
      <c r="R86">
        <v>6.0299999999999999E-2</v>
      </c>
      <c r="S86">
        <v>2.52E-2</v>
      </c>
      <c r="T86">
        <v>2.52E-2</v>
      </c>
      <c r="U86">
        <v>4.4000000000000003E-3</v>
      </c>
      <c r="V86">
        <v>3.4500000000000003E-2</v>
      </c>
      <c r="W86" s="4" t="s">
        <v>133</v>
      </c>
      <c r="X86" s="4" t="s">
        <v>116</v>
      </c>
    </row>
    <row r="87" spans="1:24" x14ac:dyDescent="0.25">
      <c r="A87" s="4">
        <v>2104008610</v>
      </c>
      <c r="B87">
        <v>4.5199999999999997E-2</v>
      </c>
      <c r="C87">
        <v>2.0000000000000001E-4</v>
      </c>
      <c r="D87">
        <v>1.1999999999999999E-3</v>
      </c>
      <c r="E87">
        <v>7.4000000000000003E-3</v>
      </c>
      <c r="F87">
        <v>7.4000000000000003E-3</v>
      </c>
      <c r="G87">
        <v>2.9999999999999997E-4</v>
      </c>
      <c r="H87">
        <v>3.3799999999999997E-2</v>
      </c>
      <c r="I87">
        <v>0.37369999999999998</v>
      </c>
      <c r="J87">
        <v>1.5E-3</v>
      </c>
      <c r="K87">
        <v>9.9000000000000008E-3</v>
      </c>
      <c r="L87">
        <v>1.78E-2</v>
      </c>
      <c r="M87">
        <v>1.78E-2</v>
      </c>
      <c r="N87">
        <v>1.5E-3</v>
      </c>
      <c r="O87">
        <v>0.28010000000000002</v>
      </c>
      <c r="P87">
        <v>0.41880000000000001</v>
      </c>
      <c r="Q87">
        <v>1.6999999999999999E-3</v>
      </c>
      <c r="R87">
        <v>1.12E-2</v>
      </c>
      <c r="S87">
        <v>2.52E-2</v>
      </c>
      <c r="T87">
        <v>2.52E-2</v>
      </c>
      <c r="U87">
        <v>1.8E-3</v>
      </c>
      <c r="V87">
        <v>0.31390000000000001</v>
      </c>
      <c r="W87" s="4" t="s">
        <v>134</v>
      </c>
      <c r="X87" s="4" t="s">
        <v>116</v>
      </c>
    </row>
    <row r="89" spans="1:24" x14ac:dyDescent="0.25">
      <c r="B89" s="80">
        <f>SUMIFS(B70:B87,$X70:$X87,$X89)/B69</f>
        <v>0.99845921956121242</v>
      </c>
      <c r="C89" s="80">
        <f t="shared" ref="C89:V89" si="8">SUMIFS(C70:C87,$X70:$X87,$X89)/C69</f>
        <v>0.97802197802197821</v>
      </c>
      <c r="D89" s="80">
        <f t="shared" si="8"/>
        <v>0.31130952380952381</v>
      </c>
      <c r="E89" s="80">
        <f t="shared" si="8"/>
        <v>0.981040742234772</v>
      </c>
      <c r="F89" s="80">
        <f t="shared" si="8"/>
        <v>0.981040742234772</v>
      </c>
      <c r="G89" s="80">
        <f t="shared" si="8"/>
        <v>3.5545023696682464E-2</v>
      </c>
      <c r="H89" s="80">
        <f t="shared" si="8"/>
        <v>0.9867403314917127</v>
      </c>
      <c r="I89" s="80">
        <f t="shared" si="8"/>
        <v>0.99037981407702524</v>
      </c>
      <c r="J89" s="81">
        <f t="shared" si="8"/>
        <v>0.65668016194331991</v>
      </c>
      <c r="K89" s="81">
        <f t="shared" si="8"/>
        <v>0.12178527108562627</v>
      </c>
      <c r="L89" s="80">
        <f t="shared" si="8"/>
        <v>0.94735417512518605</v>
      </c>
      <c r="M89" s="81">
        <f t="shared" si="8"/>
        <v>0.94735417512518605</v>
      </c>
      <c r="N89" s="81">
        <f t="shared" si="8"/>
        <v>2.262169258735609E-2</v>
      </c>
      <c r="O89" s="81">
        <f t="shared" si="8"/>
        <v>0.98536165327210112</v>
      </c>
      <c r="P89" s="80">
        <f t="shared" si="8"/>
        <v>0.9914719974324292</v>
      </c>
      <c r="Q89" s="81">
        <f t="shared" si="8"/>
        <v>0.67948717948717952</v>
      </c>
      <c r="R89" s="81">
        <f t="shared" si="8"/>
        <v>0.1345816033216225</v>
      </c>
      <c r="S89" s="80">
        <f t="shared" si="8"/>
        <v>0.95591811917308478</v>
      </c>
      <c r="T89" s="81">
        <f t="shared" si="8"/>
        <v>0.95591811917308478</v>
      </c>
      <c r="U89" s="81">
        <f t="shared" si="8"/>
        <v>2.43430881448282E-2</v>
      </c>
      <c r="V89" s="81">
        <f t="shared" si="8"/>
        <v>0.985460835417592</v>
      </c>
      <c r="X89" s="4" t="s">
        <v>116</v>
      </c>
    </row>
    <row r="90" spans="1:24" x14ac:dyDescent="0.25">
      <c r="B90" s="80">
        <f>SUMIFS(B70:B87,$X70:$X87,$X90)/B69</f>
        <v>1.5072852118573103E-3</v>
      </c>
      <c r="C90" s="80">
        <f t="shared" ref="C90:V90" si="9">SUMIFS(C70:C87,$X70:$X87,$X90)/C69</f>
        <v>2.1978021978021976E-2</v>
      </c>
      <c r="D90" s="80">
        <f t="shared" si="9"/>
        <v>0.68869047619047619</v>
      </c>
      <c r="E90" s="80">
        <f t="shared" si="9"/>
        <v>1.8555869302137956E-2</v>
      </c>
      <c r="F90" s="80">
        <f t="shared" si="9"/>
        <v>1.8555869302137956E-2</v>
      </c>
      <c r="G90" s="80">
        <f t="shared" si="9"/>
        <v>0.96411645226811105</v>
      </c>
      <c r="H90" s="80">
        <f t="shared" si="9"/>
        <v>1.3259668508287291E-2</v>
      </c>
      <c r="I90" s="80">
        <f t="shared" si="9"/>
        <v>3.4581673306772905E-3</v>
      </c>
      <c r="J90" s="81">
        <f t="shared" si="9"/>
        <v>2.8340080971659919E-2</v>
      </c>
      <c r="K90" s="81">
        <f t="shared" si="9"/>
        <v>0.78445804270614916</v>
      </c>
      <c r="L90" s="80">
        <f t="shared" si="9"/>
        <v>2.9773988361077277E-2</v>
      </c>
      <c r="M90" s="81">
        <f t="shared" si="9"/>
        <v>2.9773988361077277E-2</v>
      </c>
      <c r="N90" s="81">
        <f t="shared" si="9"/>
        <v>0.96677438901232082</v>
      </c>
      <c r="O90" s="81">
        <f t="shared" si="9"/>
        <v>1.292866769829781E-2</v>
      </c>
      <c r="P90" s="80">
        <f t="shared" si="9"/>
        <v>3.1911235414135391E-3</v>
      </c>
      <c r="Q90" s="81">
        <f t="shared" si="9"/>
        <v>2.8657616892911013E-2</v>
      </c>
      <c r="R90" s="81">
        <f t="shared" si="9"/>
        <v>0.77802618971574578</v>
      </c>
      <c r="S90" s="80">
        <f t="shared" si="9"/>
        <v>2.6955816781516009E-2</v>
      </c>
      <c r="T90" s="81">
        <f t="shared" si="9"/>
        <v>2.6955816781516009E-2</v>
      </c>
      <c r="U90" s="81">
        <f t="shared" si="9"/>
        <v>0.96647332806046238</v>
      </c>
      <c r="V90" s="81">
        <f t="shared" si="9"/>
        <v>1.2949673920665717E-2</v>
      </c>
      <c r="X90" s="4" t="s">
        <v>115</v>
      </c>
    </row>
    <row r="91" spans="1:24" x14ac:dyDescent="0.25">
      <c r="B91" s="80">
        <f>SUMIFS(B70:B87,$X70:$X87,$X91)/B69</f>
        <v>1.0048568079048736E-4</v>
      </c>
      <c r="C91" s="80">
        <f t="shared" ref="C91:V91" si="10">SUMIFS(C70:C87,$X70:$X87,$X91)/C69</f>
        <v>0</v>
      </c>
      <c r="D91" s="80">
        <f t="shared" si="10"/>
        <v>0</v>
      </c>
      <c r="E91" s="80">
        <f t="shared" si="10"/>
        <v>0</v>
      </c>
      <c r="F91" s="80">
        <f t="shared" si="10"/>
        <v>0</v>
      </c>
      <c r="G91" s="80">
        <f t="shared" si="10"/>
        <v>0</v>
      </c>
      <c r="H91" s="80">
        <f t="shared" si="10"/>
        <v>0</v>
      </c>
      <c r="I91" s="80">
        <f t="shared" si="10"/>
        <v>1.7476759628154051E-3</v>
      </c>
      <c r="J91" s="81">
        <f t="shared" si="10"/>
        <v>2.4291497975708499E-3</v>
      </c>
      <c r="K91" s="81">
        <f t="shared" si="10"/>
        <v>5.1350079164705386E-4</v>
      </c>
      <c r="L91" s="80">
        <f t="shared" si="10"/>
        <v>1.0826904858573555E-3</v>
      </c>
      <c r="M91" s="81">
        <f t="shared" si="10"/>
        <v>1.0826904858573555E-3</v>
      </c>
      <c r="N91" s="81">
        <f t="shared" si="10"/>
        <v>6.5643304382952941E-4</v>
      </c>
      <c r="O91" s="81">
        <f t="shared" si="10"/>
        <v>3.1198522437977342E-4</v>
      </c>
      <c r="P91" s="80">
        <f t="shared" si="10"/>
        <v>1.5267875564521673E-3</v>
      </c>
      <c r="Q91" s="81">
        <f t="shared" si="10"/>
        <v>2.2624434389140269E-3</v>
      </c>
      <c r="R91" s="81">
        <f t="shared" si="10"/>
        <v>4.7908016608112428E-4</v>
      </c>
      <c r="S91" s="80">
        <f t="shared" si="10"/>
        <v>8.1070125658694759E-4</v>
      </c>
      <c r="T91" s="81">
        <f t="shared" si="10"/>
        <v>8.1070125658694759E-4</v>
      </c>
      <c r="U91" s="81">
        <f t="shared" si="10"/>
        <v>6.1516829246858248E-4</v>
      </c>
      <c r="V91" s="81">
        <f t="shared" si="10"/>
        <v>2.9218578340852244E-4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4.4196547144754314E-3</v>
      </c>
      <c r="J92" s="81">
        <f t="shared" si="11"/>
        <v>0.31174089068825911</v>
      </c>
      <c r="K92" s="81">
        <f t="shared" si="11"/>
        <v>9.3200393683940272E-2</v>
      </c>
      <c r="L92" s="80">
        <f t="shared" si="11"/>
        <v>2.1924482338611447E-2</v>
      </c>
      <c r="M92" s="81">
        <f t="shared" si="11"/>
        <v>2.1924482338611447E-2</v>
      </c>
      <c r="N92" s="81">
        <f t="shared" si="11"/>
        <v>9.9474853564936374E-3</v>
      </c>
      <c r="O92" s="81">
        <f t="shared" si="11"/>
        <v>1.3852143962461939E-3</v>
      </c>
      <c r="P92" s="80">
        <f t="shared" si="11"/>
        <v>3.8146764173219317E-3</v>
      </c>
      <c r="Q92" s="81">
        <f t="shared" si="11"/>
        <v>0.29034690799396684</v>
      </c>
      <c r="R92" s="81">
        <f t="shared" si="11"/>
        <v>8.6953050143724064E-2</v>
      </c>
      <c r="S92" s="80">
        <f t="shared" si="11"/>
        <v>1.6416700445885689E-2</v>
      </c>
      <c r="T92" s="81">
        <f t="shared" si="11"/>
        <v>1.6416700445885689E-2</v>
      </c>
      <c r="U92" s="81">
        <f t="shared" si="11"/>
        <v>8.656296686879339E-3</v>
      </c>
      <c r="V92" s="81">
        <f t="shared" si="11"/>
        <v>1.2973048783338397E-3</v>
      </c>
      <c r="X92" s="4" t="s">
        <v>113</v>
      </c>
    </row>
  </sheetData>
  <sheetProtection algorithmName="SHA-512" hashValue="4hEnClbkYWcKFZrVyugKae/PB1oJQfL7XcQ3Cn38TqBctEdaSSxeN5MsyE3c3yx6BsHGgDlZpXws7sqHjid06A==" saltValue="fKb/5QTj07wYZL0T/1eNkg=="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1533-CCF4-4CAA-8047-55FDFEB80C98}">
  <sheetPr codeName="Sheet3">
    <tabColor rgb="FFFFFFCC"/>
    <pageSetUpPr fitToPage="1"/>
  </sheetPr>
  <dimension ref="A1:AV95"/>
  <sheetViews>
    <sheetView workbookViewId="0">
      <selection activeCell="B1" sqref="B1:L1"/>
    </sheetView>
  </sheetViews>
  <sheetFormatPr defaultRowHeight="15" x14ac:dyDescent="0.25"/>
  <cols>
    <col min="2" max="2" width="28.85546875" customWidth="1"/>
    <col min="13" max="22" width="0" hidden="1" customWidth="1"/>
    <col min="24" max="24" width="28.28515625" customWidth="1"/>
    <col min="36" max="36" width="28.28515625" customWidth="1"/>
    <col min="43" max="43" width="28.28515625" customWidth="1"/>
  </cols>
  <sheetData>
    <row r="1" spans="2:48" ht="15.75" x14ac:dyDescent="0.25">
      <c r="B1" s="261" t="s">
        <v>184</v>
      </c>
      <c r="C1" s="261"/>
      <c r="D1" s="261"/>
      <c r="E1" s="261"/>
      <c r="F1" s="261"/>
      <c r="G1" s="261"/>
      <c r="H1" s="261"/>
      <c r="I1" s="261"/>
      <c r="J1" s="261"/>
      <c r="K1" s="261"/>
      <c r="L1" s="261"/>
      <c r="X1" s="261" t="s">
        <v>222</v>
      </c>
      <c r="Y1" s="261"/>
      <c r="Z1" s="261"/>
      <c r="AA1" s="261"/>
      <c r="AB1" s="261"/>
      <c r="AC1" s="261"/>
      <c r="AD1" s="261"/>
      <c r="AE1" s="261"/>
      <c r="AF1" s="261"/>
      <c r="AG1" s="261"/>
      <c r="AH1" s="261"/>
    </row>
    <row r="2" spans="2:48" x14ac:dyDescent="0.25">
      <c r="B2" s="258" t="s">
        <v>260</v>
      </c>
      <c r="C2" s="258"/>
      <c r="D2" s="258"/>
      <c r="E2" s="258"/>
      <c r="F2" s="258"/>
      <c r="G2" s="258"/>
      <c r="H2" s="258"/>
      <c r="I2" s="258"/>
      <c r="J2" s="258"/>
      <c r="K2" s="258"/>
      <c r="L2" s="258"/>
      <c r="X2" s="258" t="s">
        <v>260</v>
      </c>
      <c r="Y2" s="258"/>
      <c r="Z2" s="258"/>
      <c r="AA2" s="258"/>
      <c r="AB2" s="258"/>
      <c r="AC2" s="258"/>
      <c r="AD2" s="258"/>
      <c r="AE2" s="258"/>
      <c r="AF2" s="258"/>
      <c r="AG2" s="258"/>
      <c r="AH2" s="258"/>
    </row>
    <row r="3" spans="2:48" ht="15.75" thickBot="1" x14ac:dyDescent="0.3"/>
    <row r="4" spans="2:48" ht="15.75" thickBot="1" x14ac:dyDescent="0.3">
      <c r="B4" s="39"/>
      <c r="C4" s="262" t="s">
        <v>15</v>
      </c>
      <c r="D4" s="263"/>
      <c r="E4" s="263"/>
      <c r="F4" s="263"/>
      <c r="G4" s="263"/>
      <c r="H4" s="263"/>
      <c r="I4" s="263"/>
      <c r="J4" s="263"/>
      <c r="K4" s="263"/>
      <c r="L4" s="265"/>
      <c r="X4" s="39"/>
      <c r="Y4" s="262" t="s">
        <v>224</v>
      </c>
      <c r="Z4" s="263"/>
      <c r="AA4" s="263"/>
      <c r="AB4" s="263"/>
      <c r="AC4" s="263"/>
      <c r="AD4" s="263"/>
      <c r="AE4" s="263"/>
      <c r="AF4" s="263"/>
      <c r="AG4" s="263"/>
      <c r="AH4" s="265"/>
      <c r="AJ4" s="271" t="s">
        <v>245</v>
      </c>
      <c r="AK4" s="272"/>
      <c r="AL4" s="272"/>
      <c r="AM4" s="272"/>
      <c r="AN4" s="272"/>
      <c r="AO4" s="273"/>
      <c r="AQ4" s="271" t="s">
        <v>237</v>
      </c>
      <c r="AR4" s="272"/>
      <c r="AS4" s="272"/>
      <c r="AT4" s="272"/>
      <c r="AU4" s="272"/>
      <c r="AV4" s="273"/>
    </row>
    <row r="5" spans="2:48" ht="15.75" thickBot="1" x14ac:dyDescent="0.3">
      <c r="B5" s="40" t="s">
        <v>1</v>
      </c>
      <c r="C5" s="36">
        <v>2020</v>
      </c>
      <c r="D5" s="34">
        <v>2021</v>
      </c>
      <c r="E5" s="34">
        <v>2022</v>
      </c>
      <c r="F5" s="34">
        <v>2023</v>
      </c>
      <c r="G5" s="34">
        <v>2024</v>
      </c>
      <c r="H5" s="34">
        <v>2025</v>
      </c>
      <c r="I5" s="34">
        <v>2026</v>
      </c>
      <c r="J5" s="34">
        <v>2027</v>
      </c>
      <c r="K5" s="34">
        <v>2028</v>
      </c>
      <c r="L5" s="35">
        <v>2029</v>
      </c>
      <c r="M5" s="96">
        <v>2020</v>
      </c>
      <c r="N5" s="97">
        <v>2021</v>
      </c>
      <c r="O5" s="97">
        <v>2022</v>
      </c>
      <c r="P5" s="97">
        <v>2023</v>
      </c>
      <c r="Q5" s="97">
        <v>2024</v>
      </c>
      <c r="R5" s="97">
        <v>2025</v>
      </c>
      <c r="S5" s="97">
        <v>2026</v>
      </c>
      <c r="T5" s="97">
        <v>2027</v>
      </c>
      <c r="U5" s="97">
        <v>2028</v>
      </c>
      <c r="V5" s="98">
        <v>2029</v>
      </c>
      <c r="X5" s="40" t="s">
        <v>1</v>
      </c>
      <c r="Y5" s="36">
        <v>2020</v>
      </c>
      <c r="Z5" s="34">
        <v>2021</v>
      </c>
      <c r="AA5" s="34">
        <v>2022</v>
      </c>
      <c r="AB5" s="34">
        <v>2023</v>
      </c>
      <c r="AC5" s="34">
        <v>2024</v>
      </c>
      <c r="AD5" s="34">
        <v>2025</v>
      </c>
      <c r="AE5" s="34">
        <v>2026</v>
      </c>
      <c r="AF5" s="34">
        <v>2027</v>
      </c>
      <c r="AG5" s="34">
        <v>2028</v>
      </c>
      <c r="AH5" s="35">
        <v>2029</v>
      </c>
      <c r="AJ5" s="124" t="s">
        <v>1</v>
      </c>
      <c r="AK5" s="157" t="s">
        <v>2</v>
      </c>
      <c r="AL5" s="158" t="s">
        <v>4</v>
      </c>
      <c r="AM5" s="159" t="s">
        <v>3</v>
      </c>
      <c r="AN5" s="159" t="s">
        <v>5</v>
      </c>
      <c r="AO5" s="160" t="s">
        <v>6</v>
      </c>
      <c r="AQ5" s="124" t="s">
        <v>1</v>
      </c>
      <c r="AR5" s="157" t="s">
        <v>2</v>
      </c>
      <c r="AS5" s="158" t="s">
        <v>4</v>
      </c>
      <c r="AT5" s="159" t="s">
        <v>3</v>
      </c>
      <c r="AU5" s="159" t="s">
        <v>5</v>
      </c>
      <c r="AV5" s="160" t="s">
        <v>6</v>
      </c>
    </row>
    <row r="6" spans="2:48" x14ac:dyDescent="0.25">
      <c r="B6" s="41" t="s">
        <v>7</v>
      </c>
      <c r="C6" s="37">
        <f ca="1">OFFSET(PointsNoBACT!$A$5,MATCH(C$5,PointsNoBACT!$A$6:$A$15,0),MATCH("PM25-PRI",PointsNoBACT!$B$5:$H$5,0))</f>
        <v>0.57888435044623021</v>
      </c>
      <c r="D6" s="32">
        <f ca="1">OFFSET(PointsNoBACT!$A$5,MATCH(D$5,PointsNoBACT!$A$6:$A$15,0),MATCH("PM25-PRI",PointsNoBACT!$B$5:$H$5,0))</f>
        <v>0.59579328915866736</v>
      </c>
      <c r="E6" s="32">
        <f ca="1">OFFSET(PointsNoBACT!$A$5,MATCH(E$5,PointsNoBACT!$A$6:$A$15,0),MATCH("PM25-PRI",PointsNoBACT!$B$5:$H$5,0))</f>
        <v>0.60321767124376358</v>
      </c>
      <c r="F6" s="32">
        <f ca="1">OFFSET(PointsNoBACT!$A$5,MATCH(F$5,PointsNoBACT!$A$6:$A$15,0),MATCH("PM25-PRI",PointsNoBACT!$B$5:$H$5,0))</f>
        <v>0.60729481582339451</v>
      </c>
      <c r="G6" s="32">
        <f ca="1">OFFSET(PointsNoBACT!$A$5,MATCH(G$5,PointsNoBACT!$A$6:$A$15,0),MATCH("PM25-PRI",PointsNoBACT!$B$5:$H$5,0))</f>
        <v>0.61151708372888913</v>
      </c>
      <c r="H6" s="32">
        <f ca="1">OFFSET(PointsNoBACT!$A$5,MATCH(H$5,PointsNoBACT!$A$6:$A$15,0),MATCH("PM25-PRI",PointsNoBACT!$B$5:$H$5,0))</f>
        <v>0.6158409379624934</v>
      </c>
      <c r="I6" s="32">
        <f ca="1">OFFSET(PointsNoBACT!$A$5,MATCH(I$5,PointsNoBACT!$A$6:$A$15,0),MATCH("PM25-PRI",PointsNoBACT!$B$5:$H$5,0))</f>
        <v>0.61999427935994933</v>
      </c>
      <c r="J6" s="32">
        <f ca="1">OFFSET(PointsNoBACT!$A$5,MATCH(J$5,PointsNoBACT!$A$6:$A$15,0),MATCH("PM25-PRI",PointsNoBACT!$B$5:$H$5,0))</f>
        <v>0.62414762075740604</v>
      </c>
      <c r="K6" s="32">
        <f ca="1">OFFSET(PointsNoBACT!$A$5,MATCH(K$5,PointsNoBACT!$A$6:$A$15,0),MATCH("PM25-PRI",PointsNoBACT!$B$5:$H$5,0))</f>
        <v>0.62830096215486353</v>
      </c>
      <c r="L6" s="33">
        <f ca="1">OFFSET(PointsNoBACT!$A$5,MATCH(L$5,PointsNoBACT!$A$6:$A$15,0),MATCH("PM25-PRI",PointsNoBACT!$B$5:$H$5,0))</f>
        <v>0.63245430355231724</v>
      </c>
      <c r="M6" s="99">
        <v>0.582632516840624</v>
      </c>
      <c r="N6" s="32">
        <v>0.59965093772475464</v>
      </c>
      <c r="O6" s="32">
        <v>0.60712339127595405</v>
      </c>
      <c r="P6" s="32">
        <v>0.61122693459358435</v>
      </c>
      <c r="Q6" s="32">
        <v>0.61547654088309223</v>
      </c>
      <c r="R6" s="32">
        <v>0.619828391252919</v>
      </c>
      <c r="S6" s="32">
        <v>0.62400862474831886</v>
      </c>
      <c r="T6" s="32">
        <v>0.62818885824371928</v>
      </c>
      <c r="U6" s="32">
        <v>0.63236909173911893</v>
      </c>
      <c r="V6" s="33">
        <v>0.63654932523451901</v>
      </c>
      <c r="X6" s="41" t="s">
        <v>7</v>
      </c>
      <c r="Y6" s="37">
        <f ca="1">OFFSET(PointsNoBACT!$A$5,MATCH(Y$5,PointsNoBACT!$A$6:$A$15,0),MATCH("PM25-PRI",PointsNoBACT!$B$5:$H$5,0))</f>
        <v>0.57888435044623021</v>
      </c>
      <c r="Z6" s="32">
        <f ca="1">OFFSET(PointsNoBACT!$A$5,MATCH(Z$5,PointsNoBACT!$A$6:$A$15,0),MATCH("PM25-PRI",PointsNoBACT!$B$5:$H$5,0))</f>
        <v>0.59579328915866736</v>
      </c>
      <c r="AA6" s="32">
        <f ca="1">OFFSET(PointsNoBACT!$A$5,MATCH(AA$5,PointsNoBACT!$A$6:$A$15,0),MATCH("PM25-PRI",PointsNoBACT!$B$5:$H$5,0))</f>
        <v>0.60321767124376358</v>
      </c>
      <c r="AB6" s="32">
        <f ca="1">OFFSET(PointsNoBACT!$A$5,MATCH(AB$5,PointsNoBACT!$A$6:$A$15,0),MATCH("PM25-PRI",PointsNoBACT!$B$5:$H$5,0))</f>
        <v>0.60729481582339451</v>
      </c>
      <c r="AC6" s="32">
        <f ca="1">OFFSET(PointsNoBACT!$A$5,MATCH(AC$5,PointsNoBACT!$A$6:$A$15,0),MATCH("PM25-PRI",PointsNoBACT!$B$5:$H$5,0))</f>
        <v>0.61151708372888913</v>
      </c>
      <c r="AD6" s="32">
        <f ca="1">OFFSET(PointsNoBACT!$A$5,MATCH(AD$5,PointsNoBACT!$A$6:$A$15,0),MATCH("PM25-PRI",PointsNoBACT!$B$5:$H$5,0))</f>
        <v>0.6158409379624934</v>
      </c>
      <c r="AE6" s="32">
        <f ca="1">OFFSET(PointsNoBACT!$A$5,MATCH(AE$5,PointsNoBACT!$A$6:$A$15,0),MATCH("PM25-PRI",PointsNoBACT!$B$5:$H$5,0))</f>
        <v>0.61999427935994933</v>
      </c>
      <c r="AF6" s="32">
        <f ca="1">OFFSET(PointsNoBACT!$A$5,MATCH(AF$5,PointsNoBACT!$A$6:$A$15,0),MATCH("PM25-PRI",PointsNoBACT!$B$5:$H$5,0))</f>
        <v>0.62414762075740604</v>
      </c>
      <c r="AG6" s="32">
        <f ca="1">OFFSET(PointsNoBACT!$A$5,MATCH(AG$5,PointsNoBACT!$A$6:$A$15,0),MATCH("PM25-PRI",PointsNoBACT!$B$5:$H$5,0))</f>
        <v>0.62830096215486353</v>
      </c>
      <c r="AH6" s="33">
        <f ca="1">OFFSET(PointsNoBACT!$A$5,MATCH(AH$5,PointsNoBACT!$A$6:$A$15,0),MATCH("PM25-PRI",PointsNoBACT!$B$5:$H$5,0))</f>
        <v>0.63245430355231724</v>
      </c>
      <c r="AJ6" s="125" t="s">
        <v>7</v>
      </c>
      <c r="AK6" s="141">
        <f ca="1">Y6</f>
        <v>0.57888435044623021</v>
      </c>
      <c r="AL6" s="145">
        <f ca="1">Y19</f>
        <v>6.6268895078480279</v>
      </c>
      <c r="AM6" s="129">
        <f ca="1">Y32</f>
        <v>13.537956387411262</v>
      </c>
      <c r="AN6" s="129">
        <f ca="1">Y45</f>
        <v>3.8313242904623623E-2</v>
      </c>
      <c r="AO6" s="33">
        <f ca="1">Y58</f>
        <v>8.8391226532811992E-2</v>
      </c>
      <c r="AQ6" s="125" t="s">
        <v>7</v>
      </c>
      <c r="AR6" s="153">
        <f ca="1">AK6/AK$12</f>
        <v>0.17413544404912784</v>
      </c>
      <c r="AS6" s="149">
        <f t="shared" ref="AS6:AV11" ca="1" si="0">AL6/AL$12</f>
        <v>0.33930272499801789</v>
      </c>
      <c r="AT6" s="133">
        <f t="shared" ca="1" si="0"/>
        <v>0.66472029523988096</v>
      </c>
      <c r="AU6" s="133">
        <f t="shared" ca="1" si="0"/>
        <v>2.5599742839328742E-3</v>
      </c>
      <c r="AV6" s="137">
        <f t="shared" ca="1" si="0"/>
        <v>0.27585895430232921</v>
      </c>
    </row>
    <row r="7" spans="2:48" x14ac:dyDescent="0.25">
      <c r="B7" s="42" t="s">
        <v>16</v>
      </c>
      <c r="C7" s="38">
        <v>1.9742296298884363</v>
      </c>
      <c r="D7" s="30">
        <v>1.7430023574252862</v>
      </c>
      <c r="E7" s="30">
        <v>1.5779339349250898</v>
      </c>
      <c r="F7" s="30">
        <v>1.47973444166005</v>
      </c>
      <c r="G7" s="30" cm="1">
        <f t="array" aca="1" ref="G7" ca="1">INDIRECT("TabSpHt"&amp;G$43&amp;"!M69")</f>
        <v>1.3332999999999999</v>
      </c>
      <c r="H7" s="30" cm="1">
        <f t="array" aca="1" ref="H7" ca="1">INDIRECT("TabSpHt"&amp;H$43&amp;"!M69")</f>
        <v>1.1437999999999999</v>
      </c>
      <c r="I7" s="30" cm="1">
        <f t="array" aca="1" ref="I7" ca="1">INDIRECT("TabSpHt"&amp;I$43&amp;"!M69")</f>
        <v>0.93940000000000001</v>
      </c>
      <c r="J7" s="30" cm="1">
        <f t="array" aca="1" ref="J7" ca="1">INDIRECT("TabSpHt"&amp;J$43&amp;"!M69")</f>
        <v>0.7389</v>
      </c>
      <c r="K7" s="30" cm="1">
        <f t="array" aca="1" ref="K7" ca="1">INDIRECT("TabSpHt"&amp;K$43&amp;"!M69")</f>
        <v>0.67630000000000001</v>
      </c>
      <c r="L7" s="31" cm="1">
        <f t="array" aca="1" ref="L7" ca="1">INDIRECT("TabSpHt"&amp;L$43&amp;"!M69")</f>
        <v>0.61040000000000005</v>
      </c>
      <c r="M7" s="49">
        <v>1.5561143898482794</v>
      </c>
      <c r="N7" s="30">
        <v>1.3770485764985674</v>
      </c>
      <c r="O7" s="30">
        <v>1.0858479751772214</v>
      </c>
      <c r="P7" s="30">
        <v>0.88906556807822823</v>
      </c>
      <c r="Q7" s="30">
        <v>0.73951260659173412</v>
      </c>
      <c r="R7" s="30">
        <v>0.62689383957674361</v>
      </c>
      <c r="S7" s="30">
        <v>0.50673872347064641</v>
      </c>
      <c r="T7" s="30">
        <v>0.40904227825523476</v>
      </c>
      <c r="U7" s="30">
        <v>0.33097604850848095</v>
      </c>
      <c r="V7" s="31">
        <v>0.27572650638693474</v>
      </c>
      <c r="X7" s="42" t="s">
        <v>16</v>
      </c>
      <c r="Y7" s="38" cm="1">
        <f t="array" aca="1" ref="Y7" ca="1">INDIRECT("TabSpHt"&amp;Y$5&amp;"!T69")</f>
        <v>2.1438999999999999</v>
      </c>
      <c r="Z7" s="181" cm="1">
        <f t="array" aca="1" ref="Z7" ca="1">INDIRECT("TabSpHt"&amp;Z$5&amp;"!T69")/INDIRECT("TabSpHt"&amp;Z$5&amp;"!M69")*D7</f>
        <v>1.9417067711654401</v>
      </c>
      <c r="AA7" s="181" cm="1">
        <f t="array" aca="1" ref="AA7" ca="1">INDIRECT("TabSpHt"&amp;AA$5&amp;"!T69")/INDIRECT("TabSpHt"&amp;AA$5&amp;"!M69")*E7</f>
        <v>1.7697130620706254</v>
      </c>
      <c r="AB7" s="181" cm="1">
        <f t="array" aca="1" ref="AB7" ca="1">INDIRECT("TabSpHt"&amp;AB$5&amp;"!T69")/INDIRECT("TabSpHt"&amp;AB$5&amp;"!M69")*F7</f>
        <v>1.6677870902262297</v>
      </c>
      <c r="AC7" s="30" cm="1">
        <f t="array" aca="1" ref="AC7" ca="1">INDIRECT("TabSpHt"&amp;AC$5&amp;"!T69")</f>
        <v>1.5825</v>
      </c>
      <c r="AD7" s="30" cm="1">
        <f t="array" aca="1" ref="AD7" ca="1">INDIRECT("TabSpHt"&amp;AD$5&amp;"!T69")</f>
        <v>1.3948</v>
      </c>
      <c r="AE7" s="30" cm="1">
        <f t="array" aca="1" ref="AE7" ca="1">INDIRECT("TabSpHt"&amp;AE$5&amp;"!T69")</f>
        <v>1.1884999999999999</v>
      </c>
      <c r="AF7" s="30" cm="1">
        <f t="array" aca="1" ref="AF7" ca="1">INDIRECT("TabSpHt"&amp;AF$5&amp;"!T69")</f>
        <v>0.98680000000000001</v>
      </c>
      <c r="AG7" s="30" cm="1">
        <f t="array" aca="1" ref="AG7" ca="1">INDIRECT("TabSpHt"&amp;AG$5&amp;"!T69")</f>
        <v>0.92589999999999995</v>
      </c>
      <c r="AH7" s="31" cm="1">
        <f t="array" aca="1" ref="AH7" ca="1">INDIRECT("TabSpHt"&amp;AH$5&amp;"!T69")</f>
        <v>0.86160000000000003</v>
      </c>
      <c r="AJ7" s="126" t="s">
        <v>16</v>
      </c>
      <c r="AK7" s="142">
        <f t="shared" ref="AK7:AK12" ca="1" si="1">Y7</f>
        <v>2.1438999999999999</v>
      </c>
      <c r="AL7" s="146">
        <f t="shared" ref="AL7:AL12" ca="1" si="2">Y20</f>
        <v>3.9519000000000002</v>
      </c>
      <c r="AM7" s="130">
        <f t="shared" ref="AM7:AM12" ca="1" si="3">Y33</f>
        <v>2.3227000000000002</v>
      </c>
      <c r="AN7" s="130">
        <f t="shared" ref="AN7:AN12" ca="1" si="4">Y46</f>
        <v>7.1388999999999996</v>
      </c>
      <c r="AO7" s="31">
        <f t="shared" ref="AO7:AO12" ca="1" si="5">Y59</f>
        <v>0.11650000000000001</v>
      </c>
      <c r="AQ7" s="126" t="s">
        <v>16</v>
      </c>
      <c r="AR7" s="154">
        <f t="shared" ref="AR7:AR11" ca="1" si="6">AK7/AK$12</f>
        <v>0.64491116094112122</v>
      </c>
      <c r="AS7" s="150">
        <f t="shared" ca="1" si="0"/>
        <v>0.20234084744157729</v>
      </c>
      <c r="AT7" s="134">
        <f t="shared" ca="1" si="0"/>
        <v>0.1140457086410297</v>
      </c>
      <c r="AU7" s="134">
        <f t="shared" ca="1" si="0"/>
        <v>0.4769995706461832</v>
      </c>
      <c r="AV7" s="138">
        <f t="shared" ca="1" si="0"/>
        <v>0.36358323599335357</v>
      </c>
    </row>
    <row r="8" spans="2:48" x14ac:dyDescent="0.25">
      <c r="B8" s="42" t="s">
        <v>17</v>
      </c>
      <c r="C8" s="38" cm="1">
        <f t="array" aca="1" ref="C8" ca="1">INDIRECT("'"&amp;C$5&amp;"NRARSummary'!B5")</f>
        <v>0.11409577588764884</v>
      </c>
      <c r="D8" s="38" cm="1">
        <f t="array" aca="1" ref="D8" ca="1">INDIRECT("'"&amp;D$5&amp;"NRARSummary'!B5")</f>
        <v>0.11560730030618761</v>
      </c>
      <c r="E8" s="38" cm="1">
        <f t="array" aca="1" ref="E8" ca="1">INDIRECT("'"&amp;E$5&amp;"NRARSummary'!B5")</f>
        <v>0.11752727250541077</v>
      </c>
      <c r="F8" s="38" cm="1">
        <f t="array" aca="1" ref="F8" ca="1">INDIRECT("'"&amp;F$5&amp;"NRARSummary'!B5")</f>
        <v>0.11925499360569412</v>
      </c>
      <c r="G8" s="38" cm="1">
        <f t="array" aca="1" ref="G8" ca="1">INDIRECT("'"&amp;G$5&amp;"NRARSummary'!B5")</f>
        <v>0.12093284221501384</v>
      </c>
      <c r="H8" s="30" cm="1">
        <f t="array" aca="1" ref="H8" ca="1">INDIRECT("'"&amp;H$5&amp;"NRARSummary'!B5")</f>
        <v>0.1225654474110935</v>
      </c>
      <c r="I8" s="38" cm="1">
        <f t="array" aca="1" ref="I8" ca="1">INDIRECT("'"&amp;I$5&amp;"NRARSummary'!B5")</f>
        <v>0.12403847550265712</v>
      </c>
      <c r="J8" s="30" cm="1">
        <f t="array" aca="1" ref="J8" ca="1">INDIRECT("'"&amp;J$5&amp;"NRARSummary'!B5")</f>
        <v>0.12551150359422081</v>
      </c>
      <c r="K8" s="30" cm="1">
        <f t="array" aca="1" ref="K8" ca="1">INDIRECT("'"&amp;K$5&amp;"NRARSummary'!B5")</f>
        <v>0.12698453168578447</v>
      </c>
      <c r="L8" s="31" cm="1">
        <f t="array" aca="1" ref="L8" ca="1">INDIRECT("'"&amp;L$5&amp;"NRARSummary'!B5")</f>
        <v>0.12845755977734816</v>
      </c>
      <c r="M8" s="49">
        <v>0.22658341351903982</v>
      </c>
      <c r="N8" s="38">
        <v>0.2296271341784937</v>
      </c>
      <c r="O8" s="38">
        <v>0.23322985791979625</v>
      </c>
      <c r="P8" s="38">
        <v>0.23670179076234138</v>
      </c>
      <c r="Q8" s="38">
        <v>0.23979661599305896</v>
      </c>
      <c r="R8" s="30">
        <v>0.24269174789109432</v>
      </c>
      <c r="S8" s="38">
        <v>0.24558687978912971</v>
      </c>
      <c r="T8" s="30">
        <v>0.23925239103243309</v>
      </c>
      <c r="U8" s="30">
        <v>0.23291790227573644</v>
      </c>
      <c r="V8" s="31">
        <v>0.22658341351903982</v>
      </c>
      <c r="X8" s="42" t="s">
        <v>17</v>
      </c>
      <c r="Y8" s="38" cm="1">
        <f t="array" aca="1" ref="Y8" ca="1">INDIRECT("'"&amp;Y$5&amp;"NRARSummary'!G5")</f>
        <v>0.18350417720520121</v>
      </c>
      <c r="Z8" s="38" cm="1">
        <f t="array" aca="1" ref="Z8" ca="1">INDIRECT("'"&amp;Z$5&amp;"NRARSummary'!G5")</f>
        <v>0.18593521413528583</v>
      </c>
      <c r="AA8" s="38" cm="1">
        <f t="array" aca="1" ref="AA8" ca="1">INDIRECT("'"&amp;AA$5&amp;"NRARSummary'!G5")</f>
        <v>0.18902317173874902</v>
      </c>
      <c r="AB8" s="38" cm="1">
        <f t="array" aca="1" ref="AB8" ca="1">INDIRECT("'"&amp;AB$5&amp;"NRARSummary'!G5")</f>
        <v>0.19180192525947332</v>
      </c>
      <c r="AC8" s="38" cm="1">
        <f t="array" aca="1" ref="AC8" ca="1">INDIRECT("'"&amp;AC$5&amp;"NRARSummary'!G5")</f>
        <v>0.19450046713039482</v>
      </c>
      <c r="AD8" s="30" cm="1">
        <f t="array" aca="1" ref="AD8" ca="1">INDIRECT("'"&amp;AD$5&amp;"NRARSummary'!G5")</f>
        <v>0.19712624245710403</v>
      </c>
      <c r="AE8" s="38" cm="1">
        <f t="array" aca="1" ref="AE8" ca="1">INDIRECT("'"&amp;AE$5&amp;"NRARSummary'!G5")</f>
        <v>0.19949536441485921</v>
      </c>
      <c r="AF8" s="30" cm="1">
        <f t="array" aca="1" ref="AF8" ca="1">INDIRECT("'"&amp;AF$5&amp;"NRARSummary'!G5")</f>
        <v>0.20186448637261434</v>
      </c>
      <c r="AG8" s="30" cm="1">
        <f t="array" aca="1" ref="AG8" ca="1">INDIRECT("'"&amp;AG$5&amp;"NRARSummary'!G5")</f>
        <v>0.20423360833036944</v>
      </c>
      <c r="AH8" s="31" cm="1">
        <f t="array" aca="1" ref="AH8" ca="1">INDIRECT("'"&amp;AH$5&amp;"NRARSummary'!G5")</f>
        <v>0.20660273028812459</v>
      </c>
      <c r="AJ8" s="126" t="s">
        <v>17</v>
      </c>
      <c r="AK8" s="142">
        <f t="shared" ca="1" si="1"/>
        <v>0.18350417720520121</v>
      </c>
      <c r="AL8" s="146">
        <f t="shared" ca="1" si="2"/>
        <v>0.67045469555427595</v>
      </c>
      <c r="AM8" s="130">
        <f t="shared" ca="1" si="3"/>
        <v>1.2365001822449586</v>
      </c>
      <c r="AN8" s="130">
        <f t="shared" ca="1" si="4"/>
        <v>2.2985325717898895</v>
      </c>
      <c r="AO8" s="31">
        <f t="shared" ca="1" si="5"/>
        <v>5.0813496792690559E-2</v>
      </c>
      <c r="AQ8" s="126" t="s">
        <v>17</v>
      </c>
      <c r="AR8" s="154">
        <f t="shared" ca="1" si="6"/>
        <v>5.5200285441928981E-2</v>
      </c>
      <c r="AS8" s="150">
        <f t="shared" ca="1" si="0"/>
        <v>3.4327885642257368E-2</v>
      </c>
      <c r="AT8" s="134">
        <f t="shared" ca="1" si="0"/>
        <v>6.0712765109092286E-2</v>
      </c>
      <c r="AU8" s="134">
        <f t="shared" ca="1" si="0"/>
        <v>0.1535809508271645</v>
      </c>
      <c r="AV8" s="138">
        <f t="shared" ca="1" si="0"/>
        <v>0.15858313816329891</v>
      </c>
    </row>
    <row r="9" spans="2:48" x14ac:dyDescent="0.25">
      <c r="B9" s="42" t="s">
        <v>19</v>
      </c>
      <c r="C9" s="38">
        <f ca="1">OFFSET(OnRoad!$C$6,MATCH(C5,OnRoad!$A$7:$A$16,0),0)</f>
        <v>7.3874252162777848E-2</v>
      </c>
      <c r="D9" s="38">
        <f ca="1">OFFSET(OnRoad!$C$6,MATCH(D5,OnRoad!$A$7:$A$16,0),0)</f>
        <v>6.6311608172033923E-2</v>
      </c>
      <c r="E9" s="38">
        <f ca="1">OFFSET(OnRoad!$C$6,MATCH(E5,OnRoad!$A$7:$A$16,0),0)</f>
        <v>6.553027683826472E-2</v>
      </c>
      <c r="F9" s="38">
        <f ca="1">OFFSET(OnRoad!$C$6,MATCH(F5,OnRoad!$A$7:$A$16,0),0)</f>
        <v>6.2414198118679466E-2</v>
      </c>
      <c r="G9" s="38">
        <f ca="1">OFFSET(OnRoad!$C$6,MATCH(G5,OnRoad!$A$7:$A$16,0),0)</f>
        <v>5.8866499745154531E-2</v>
      </c>
      <c r="H9" s="38">
        <f ca="1">OFFSET(OnRoad!$C$6,MATCH(H5,OnRoad!$A$7:$A$16,0),0)</f>
        <v>5.6045630458438661E-2</v>
      </c>
      <c r="I9" s="38">
        <f ca="1">OFFSET(OnRoad!$C$6,MATCH(I5,OnRoad!$A$7:$A$16,0),0)</f>
        <v>5.3779949156334717E-2</v>
      </c>
      <c r="J9" s="38">
        <f ca="1">OFFSET(OnRoad!$C$6,MATCH(J5,OnRoad!$A$7:$A$16,0),0)</f>
        <v>5.1612391272158692E-2</v>
      </c>
      <c r="K9" s="38">
        <f ca="1">OFFSET(OnRoad!$C$6,MATCH(K5,OnRoad!$A$7:$A$16,0),0)</f>
        <v>4.8900307930087678E-2</v>
      </c>
      <c r="L9" s="31">
        <f ca="1">OFFSET(OnRoad!$C$6,MATCH(L5,OnRoad!$A$7:$A$16,0),0)</f>
        <v>4.8497091722706893E-2</v>
      </c>
      <c r="M9" s="49">
        <v>0.20311369212954972</v>
      </c>
      <c r="N9" s="38">
        <v>0.19054574007651448</v>
      </c>
      <c r="O9" s="38">
        <v>0.18068519137235634</v>
      </c>
      <c r="P9" s="38">
        <v>0.17258761095396644</v>
      </c>
      <c r="Q9" s="38">
        <v>0.16280045236631813</v>
      </c>
      <c r="R9" s="38">
        <v>0.15888478173070195</v>
      </c>
      <c r="S9" s="38">
        <v>0.14561866773161886</v>
      </c>
      <c r="T9" s="38">
        <v>0.13707332596246249</v>
      </c>
      <c r="U9" s="38">
        <v>0.12952419791980024</v>
      </c>
      <c r="V9" s="31">
        <v>0.12396382075344352</v>
      </c>
      <c r="X9" s="42" t="s">
        <v>19</v>
      </c>
      <c r="Y9" s="38">
        <f ca="1">OFFSET(OnRoad!$O$6,MATCH(Y5,OnRoad!$A$7:$A$16,0),0)</f>
        <v>0.1025625208308969</v>
      </c>
      <c r="Z9" s="38">
        <f ca="1">OFFSET(OnRoad!$O$6,MATCH(Z5,OnRoad!$A$7:$A$16,0),0)</f>
        <v>9.1775294799411128E-2</v>
      </c>
      <c r="AA9" s="38">
        <f ca="1">OFFSET(OnRoad!$O$6,MATCH(AA5,OnRoad!$A$7:$A$16,0),0)</f>
        <v>9.0310490284561756E-2</v>
      </c>
      <c r="AB9" s="38">
        <f ca="1">OFFSET(OnRoad!$O$6,MATCH(AB5,OnRoad!$A$7:$A$16,0),0)</f>
        <v>8.5744152296594323E-2</v>
      </c>
      <c r="AC9" s="38">
        <f ca="1">OFFSET(OnRoad!$O$6,MATCH(AC5,OnRoad!$A$7:$A$16,0),0)</f>
        <v>8.08579582170047E-2</v>
      </c>
      <c r="AD9" s="38">
        <f ca="1">OFFSET(OnRoad!$O$6,MATCH(AD5,OnRoad!$A$7:$A$16,0),0)</f>
        <v>7.6946134456613316E-2</v>
      </c>
      <c r="AE9" s="38">
        <f ca="1">OFFSET(OnRoad!$O$6,MATCH(AE5,OnRoad!$A$7:$A$16,0),0)</f>
        <v>7.3729328880400166E-2</v>
      </c>
      <c r="AF9" s="38">
        <f ca="1">OFFSET(OnRoad!$O$6,MATCH(AF5,OnRoad!$A$7:$A$16,0),0)</f>
        <v>7.0625590825959331E-2</v>
      </c>
      <c r="AG9" s="38">
        <f ca="1">OFFSET(OnRoad!$O$6,MATCH(AG5,OnRoad!$A$7:$A$16,0),0)</f>
        <v>6.6441780546344545E-2</v>
      </c>
      <c r="AH9" s="31">
        <f ca="1">OFFSET(OnRoad!$O$6,MATCH(AH5,OnRoad!$A$7:$A$16,0),0)</f>
        <v>6.5965889267339151E-2</v>
      </c>
      <c r="AJ9" s="126" t="s">
        <v>19</v>
      </c>
      <c r="AK9" s="142">
        <f t="shared" ca="1" si="1"/>
        <v>0.1025625208308969</v>
      </c>
      <c r="AL9" s="146">
        <f t="shared" ca="1" si="2"/>
        <v>4.2315867801394833E-3</v>
      </c>
      <c r="AM9" s="130">
        <f t="shared" ca="1" si="3"/>
        <v>1.7714176537659712</v>
      </c>
      <c r="AN9" s="130">
        <f t="shared" ca="1" si="4"/>
        <v>1.8594191911790356</v>
      </c>
      <c r="AO9" s="31">
        <f t="shared" ca="1" si="5"/>
        <v>6.2447704664889095E-2</v>
      </c>
      <c r="AQ9" s="126" t="s">
        <v>19</v>
      </c>
      <c r="AR9" s="154">
        <f t="shared" ca="1" si="6"/>
        <v>3.0852052044452467E-2</v>
      </c>
      <c r="AS9" s="150">
        <f t="shared" ca="1" si="0"/>
        <v>2.1666106306232404E-4</v>
      </c>
      <c r="AT9" s="134">
        <f t="shared" ca="1" si="0"/>
        <v>8.6977475189637207E-2</v>
      </c>
      <c r="AU9" s="134">
        <f t="shared" ca="1" si="0"/>
        <v>0.12424073118318975</v>
      </c>
      <c r="AV9" s="138">
        <f t="shared" ca="1" si="0"/>
        <v>0.19489217632976494</v>
      </c>
    </row>
    <row r="10" spans="2:48" x14ac:dyDescent="0.25">
      <c r="B10" s="42" t="s">
        <v>173</v>
      </c>
      <c r="C10" s="49" cm="1">
        <f t="array" aca="1" ref="C10" ca="1">INDIRECT("'"&amp;C$5&amp;"NRARSummary'!B8")</f>
        <v>0.11865262133751975</v>
      </c>
      <c r="D10" s="103" cm="1">
        <f t="array" aca="1" ref="D10" ca="1">INDIRECT("'"&amp;D$5&amp;"NRARSummary'!B8")</f>
        <v>0.11949867241722079</v>
      </c>
      <c r="E10" s="103" cm="1">
        <f t="array" aca="1" ref="E10" ca="1">INDIRECT("'"&amp;E$5&amp;"NRARSummary'!B8")</f>
        <v>0.12035487610987838</v>
      </c>
      <c r="F10" s="103" cm="1">
        <f t="array" aca="1" ref="F10" ca="1">INDIRECT("'"&amp;F$5&amp;"NRARSummary'!B8")</f>
        <v>0.1212213542468478</v>
      </c>
      <c r="G10" s="103" cm="1">
        <f t="array" aca="1" ref="G10" ca="1">INDIRECT("'"&amp;G$5&amp;"NRARSummary'!B8")</f>
        <v>0.1212213542468478</v>
      </c>
      <c r="H10" s="103" cm="1">
        <f t="array" aca="1" ref="H10" ca="1">INDIRECT("'"&amp;H$5&amp;"NRARSummary'!B8")</f>
        <v>0.12298562850656918</v>
      </c>
      <c r="I10" s="103" cm="1">
        <f t="array" aca="1" ref="I10" ca="1">INDIRECT("'"&amp;I$5&amp;"NRARSummary'!B8")</f>
        <v>0.12388367567229894</v>
      </c>
      <c r="J10" s="103" cm="1">
        <f t="array" aca="1" ref="J10" ca="1">INDIRECT("'"&amp;J$5&amp;"NRARSummary'!B8")</f>
        <v>0.1247924994040174</v>
      </c>
      <c r="K10" s="103" cm="1">
        <f t="array" aca="1" ref="K10" ca="1">INDIRECT("'"&amp;K$5&amp;"NRARSummary'!B8")</f>
        <v>0.12571222902051643</v>
      </c>
      <c r="L10" s="104" cm="1">
        <f t="array" aca="1" ref="L10" ca="1">INDIRECT("'"&amp;L$5&amp;"NRARSummary'!B8")</f>
        <v>0.12664299539241358</v>
      </c>
      <c r="M10" s="106"/>
      <c r="N10" s="103"/>
      <c r="O10" s="103"/>
      <c r="P10" s="103"/>
      <c r="Q10" s="103"/>
      <c r="R10" s="103"/>
      <c r="S10" s="103"/>
      <c r="T10" s="103"/>
      <c r="U10" s="103"/>
      <c r="V10" s="104"/>
      <c r="X10" s="42" t="s">
        <v>173</v>
      </c>
      <c r="Y10" s="49" cm="1">
        <f t="array" aca="1" ref="Y10" ca="1">INDIRECT("'"&amp;Y$5&amp;"NRARSummary'!G8")</f>
        <v>0.19307237029142885</v>
      </c>
      <c r="Z10" s="103" cm="1">
        <f t="array" aca="1" ref="Z10" ca="1">INDIRECT("'"&amp;Z$5&amp;"NRARSummary'!G8")</f>
        <v>0.20785615560620707</v>
      </c>
      <c r="AA10" s="103" cm="1">
        <f t="array" aca="1" ref="AA10" ca="1">INDIRECT("'"&amp;AA$5&amp;"NRARSummary'!G8")</f>
        <v>0.20871235929886467</v>
      </c>
      <c r="AB10" s="103" cm="1">
        <f t="array" aca="1" ref="AB10" ca="1">INDIRECT("'"&amp;AB$5&amp;"NRARSummary'!G8")</f>
        <v>0.20957883743583408</v>
      </c>
      <c r="AC10" s="103" cm="1">
        <f t="array" aca="1" ref="AC10" ca="1">INDIRECT("'"&amp;AC$5&amp;"NRARSummary'!G8")</f>
        <v>0.20957883743583408</v>
      </c>
      <c r="AD10" s="103" cm="1">
        <f t="array" aca="1" ref="AD10" ca="1">INDIRECT("'"&amp;AD$5&amp;"NRARSummary'!G8")</f>
        <v>0.21134311169555545</v>
      </c>
      <c r="AE10" s="103" cm="1">
        <f t="array" aca="1" ref="AE10" ca="1">INDIRECT("'"&amp;AE$5&amp;"NRARSummary'!G8")</f>
        <v>0.21224115886128522</v>
      </c>
      <c r="AF10" s="103" cm="1">
        <f t="array" aca="1" ref="AF10" ca="1">INDIRECT("'"&amp;AF$5&amp;"NRARSummary'!G8")</f>
        <v>0.21314998259300369</v>
      </c>
      <c r="AG10" s="103" cm="1">
        <f t="array" aca="1" ref="AG10" ca="1">INDIRECT("'"&amp;AG$5&amp;"NRARSummary'!G8")</f>
        <v>0.21406971220950272</v>
      </c>
      <c r="AH10" s="104" cm="1">
        <f t="array" aca="1" ref="AH10" ca="1">INDIRECT("'"&amp;AH$5&amp;"NRARSummary'!G8")</f>
        <v>0.21500047858139987</v>
      </c>
      <c r="AJ10" s="126" t="s">
        <v>173</v>
      </c>
      <c r="AK10" s="142">
        <f t="shared" ca="1" si="1"/>
        <v>0.19307237029142885</v>
      </c>
      <c r="AL10" s="146">
        <f t="shared" ca="1" si="2"/>
        <v>8.27450154155013</v>
      </c>
      <c r="AM10" s="130">
        <f t="shared" ca="1" si="3"/>
        <v>0.65308055864038062</v>
      </c>
      <c r="AN10" s="130">
        <f t="shared" ca="1" si="4"/>
        <v>0.30708603691207981</v>
      </c>
      <c r="AO10" s="31">
        <f t="shared" ca="1" si="5"/>
        <v>0</v>
      </c>
      <c r="AQ10" s="126" t="s">
        <v>173</v>
      </c>
      <c r="AR10" s="154">
        <f t="shared" ca="1" si="6"/>
        <v>5.8078514142590333E-2</v>
      </c>
      <c r="AS10" s="150">
        <f t="shared" ca="1" si="0"/>
        <v>0.42366194844856669</v>
      </c>
      <c r="AT10" s="134">
        <f t="shared" ca="1" si="0"/>
        <v>3.2066575584372391E-2</v>
      </c>
      <c r="AU10" s="134">
        <f t="shared" ca="1" si="0"/>
        <v>2.0518554365308386E-2</v>
      </c>
      <c r="AV10" s="138">
        <f t="shared" ca="1" si="0"/>
        <v>0</v>
      </c>
    </row>
    <row r="11" spans="2:48" ht="15.75" thickBot="1" x14ac:dyDescent="0.3">
      <c r="B11" s="46" t="s">
        <v>174</v>
      </c>
      <c r="C11" s="107" cm="1">
        <f t="array" aca="1" ref="C11" ca="1">INDIRECT("'"&amp;C$5&amp;"NRARSummary'!B9")-INDIRECT("'"&amp;C$5&amp;"NRARSummary'!B8")</f>
        <v>8.992173675013021E-2</v>
      </c>
      <c r="D11" s="47" cm="1">
        <f t="array" aca="1" ref="D11" ca="1">INDIRECT("'"&amp;D$5&amp;"NRARSummary'!B9")-INDIRECT("'"&amp;D$5&amp;"NRARSummary'!B8")</f>
        <v>8.8048319029695565E-2</v>
      </c>
      <c r="E11" s="47" cm="1">
        <f t="array" aca="1" ref="E11" ca="1">INDIRECT("'"&amp;E$5&amp;"NRARSummary'!B9")-INDIRECT("'"&amp;E$5&amp;"NRARSummary'!B8")</f>
        <v>8.5681072816256643E-2</v>
      </c>
      <c r="F11" s="47" cm="1">
        <f t="array" aca="1" ref="F11" ca="1">INDIRECT("'"&amp;F$5&amp;"NRARSummary'!B9")-INDIRECT("'"&amp;F$5&amp;"NRARSummary'!B8")</f>
        <v>8.3264250106762389E-2</v>
      </c>
      <c r="G11" s="47" cm="1">
        <f t="array" aca="1" ref="G11" ca="1">INDIRECT("'"&amp;G$5&amp;"NRARSummary'!B9")-INDIRECT("'"&amp;G$5&amp;"NRARSummary'!B8")</f>
        <v>8.0590913375696321E-2</v>
      </c>
      <c r="H11" s="47" cm="1">
        <f t="array" aca="1" ref="H11" ca="1">INDIRECT("'"&amp;H$5&amp;"NRARSummary'!B9")-INDIRECT("'"&amp;H$5&amp;"NRARSummary'!B8")</f>
        <v>7.7389510654157126E-2</v>
      </c>
      <c r="I11" s="47" cm="1">
        <f t="array" aca="1" ref="I11" ca="1">INDIRECT("'"&amp;I$5&amp;"NRARSummary'!B9")-INDIRECT("'"&amp;I$5&amp;"NRARSummary'!B8")</f>
        <v>7.6972836001024642E-2</v>
      </c>
      <c r="J11" s="47" cm="1">
        <f t="array" aca="1" ref="J11" ca="1">INDIRECT("'"&amp;J$5&amp;"NRARSummary'!B9")-INDIRECT("'"&amp;J$5&amp;"NRARSummary'!B8")</f>
        <v>7.6903436266314074E-2</v>
      </c>
      <c r="K11" s="47" cm="1">
        <f t="array" aca="1" ref="K11" ca="1">INDIRECT("'"&amp;K$5&amp;"NRARSummary'!B9")-INDIRECT("'"&amp;K$5&amp;"NRARSummary'!B8")</f>
        <v>7.8196497322769898E-2</v>
      </c>
      <c r="L11" s="58" cm="1">
        <f t="array" aca="1" ref="L11" ca="1">INDIRECT("'"&amp;L$5&amp;"NRARSummary'!B9")-INDIRECT("'"&amp;L$5&amp;"NRARSummary'!B8")</f>
        <v>7.6138467357425299E-2</v>
      </c>
      <c r="M11" s="100">
        <v>0.2467877620331039</v>
      </c>
      <c r="N11" s="47">
        <v>0.24380242524276349</v>
      </c>
      <c r="O11" s="47">
        <v>0.24067478831748998</v>
      </c>
      <c r="P11" s="47">
        <v>0.23766401211875365</v>
      </c>
      <c r="Q11" s="47">
        <v>0.23581445443578641</v>
      </c>
      <c r="R11" s="47">
        <v>0.23585966809088865</v>
      </c>
      <c r="S11" s="47">
        <v>0.23590488174599089</v>
      </c>
      <c r="T11" s="47">
        <v>0.23555235411378264</v>
      </c>
      <c r="U11" s="47">
        <v>0.23519982648157442</v>
      </c>
      <c r="V11" s="58">
        <v>0.23484729884936617</v>
      </c>
      <c r="X11" s="46" t="s">
        <v>174</v>
      </c>
      <c r="Y11" s="107" cm="1">
        <f t="array" aca="1" ref="Y11" ca="1">INDIRECT("'"&amp;Y$5&amp;"NRARSummary'!G9")-INDIRECT("'"&amp;Y$5&amp;"NRARSummary'!G8")</f>
        <v>0.12241042725768506</v>
      </c>
      <c r="Z11" s="47" cm="1">
        <f t="array" aca="1" ref="Z11" ca="1">INDIRECT("'"&amp;Z$5&amp;"NRARSummary'!G9")-INDIRECT("'"&amp;Z$5&amp;"NRARSummary'!G8")</f>
        <v>0.11967893154751708</v>
      </c>
      <c r="AA11" s="47" cm="1">
        <f t="array" aca="1" ref="AA11" ca="1">INDIRECT("'"&amp;AA$5&amp;"NRARSummary'!G9")-INDIRECT("'"&amp;AA$5&amp;"NRARSummary'!G8")</f>
        <v>0.11644450577363447</v>
      </c>
      <c r="AB11" s="47" cm="1">
        <f t="array" aca="1" ref="AB11" ca="1">INDIRECT("'"&amp;AB$5&amp;"NRARSummary'!G9")-INDIRECT("'"&amp;AB$5&amp;"NRARSummary'!G8")</f>
        <v>0.11324375182856031</v>
      </c>
      <c r="AC11" s="47" cm="1">
        <f t="array" aca="1" ref="AC11" ca="1">INDIRECT("'"&amp;AC$5&amp;"NRARSummary'!G9")-INDIRECT("'"&amp;AC$5&amp;"NRARSummary'!G8")</f>
        <v>0.10973660685195821</v>
      </c>
      <c r="AD11" s="47" cm="1">
        <f t="array" aca="1" ref="AD11" ca="1">INDIRECT("'"&amp;AD$5&amp;"NRARSummary'!G9")-INDIRECT("'"&amp;AD$5&amp;"NRARSummary'!G8")</f>
        <v>0.1055296690594841</v>
      </c>
      <c r="AE11" s="47" cm="1">
        <f t="array" aca="1" ref="AE11" ca="1">INDIRECT("'"&amp;AE$5&amp;"NRARSummary'!G9")-INDIRECT("'"&amp;AE$5&amp;"NRARSummary'!G8")</f>
        <v>0.10494523379341361</v>
      </c>
      <c r="AF11" s="47" cm="1">
        <f t="array" aca="1" ref="AF11" ca="1">INDIRECT("'"&amp;AF$5&amp;"NRARSummary'!G9")-INDIRECT("'"&amp;AF$5&amp;"NRARSummary'!G8")</f>
        <v>0.10472443350744667</v>
      </c>
      <c r="AG11" s="47" cm="1">
        <f t="array" aca="1" ref="AG11" ca="1">INDIRECT("'"&amp;AG$5&amp;"NRARSummary'!G9")-INDIRECT("'"&amp;AG$5&amp;"NRARSummary'!G8")</f>
        <v>0.10617881668693124</v>
      </c>
      <c r="AH11" s="58" cm="1">
        <f t="array" aca="1" ref="AH11" ca="1">INDIRECT("'"&amp;AH$5&amp;"NRARSummary'!G9")-INDIRECT("'"&amp;AH$5&amp;"NRARSummary'!G8")</f>
        <v>0.10352237956521071</v>
      </c>
      <c r="AJ11" s="127" t="s">
        <v>174</v>
      </c>
      <c r="AK11" s="143">
        <f t="shared" ca="1" si="1"/>
        <v>0.12241042725768506</v>
      </c>
      <c r="AL11" s="147">
        <f t="shared" ca="1" si="2"/>
        <v>2.9283156852013548E-3</v>
      </c>
      <c r="AM11" s="131">
        <f t="shared" ca="1" si="3"/>
        <v>0.84474065427016376</v>
      </c>
      <c r="AN11" s="131">
        <f t="shared" ca="1" si="4"/>
        <v>3.324009807992609</v>
      </c>
      <c r="AO11" s="58">
        <f t="shared" ca="1" si="5"/>
        <v>2.269385962905397E-3</v>
      </c>
      <c r="AQ11" s="127" t="s">
        <v>174</v>
      </c>
      <c r="AR11" s="155">
        <f t="shared" ca="1" si="6"/>
        <v>3.6822543380779109E-2</v>
      </c>
      <c r="AS11" s="151">
        <f t="shared" ca="1" si="0"/>
        <v>1.4993240651841016E-4</v>
      </c>
      <c r="AT11" s="135">
        <f t="shared" ca="1" si="0"/>
        <v>4.1477180235987378E-2</v>
      </c>
      <c r="AU11" s="135">
        <f t="shared" ca="1" si="0"/>
        <v>0.22210021869422131</v>
      </c>
      <c r="AV11" s="139">
        <f t="shared" ca="1" si="0"/>
        <v>7.0824952112535349E-3</v>
      </c>
    </row>
    <row r="12" spans="2:48" ht="15.75" thickBot="1" x14ac:dyDescent="0.3">
      <c r="B12" s="43" t="s">
        <v>10</v>
      </c>
      <c r="C12" s="52">
        <f ca="1">SUM(C6:C11)</f>
        <v>2.9496583664727427</v>
      </c>
      <c r="D12" s="53">
        <f t="shared" ref="D12:L12" ca="1" si="7">SUM(D6:D11)</f>
        <v>2.7282615465090916</v>
      </c>
      <c r="E12" s="53">
        <f t="shared" ca="1" si="7"/>
        <v>2.5702451044386638</v>
      </c>
      <c r="F12" s="53">
        <f t="shared" ca="1" si="7"/>
        <v>2.473184053561428</v>
      </c>
      <c r="G12" s="53">
        <f t="shared" ca="1" si="7"/>
        <v>2.3264286933116018</v>
      </c>
      <c r="H12" s="53">
        <f t="shared" ca="1" si="7"/>
        <v>2.138627154992752</v>
      </c>
      <c r="I12" s="53">
        <f t="shared" ca="1" si="7"/>
        <v>1.9380692156922648</v>
      </c>
      <c r="J12" s="53">
        <f t="shared" ca="1" si="7"/>
        <v>1.741867451294117</v>
      </c>
      <c r="K12" s="53">
        <f t="shared" ca="1" si="7"/>
        <v>1.684394528114022</v>
      </c>
      <c r="L12" s="54">
        <f t="shared" ca="1" si="7"/>
        <v>1.6225904178022112</v>
      </c>
      <c r="M12" s="101">
        <v>2.8089898482559326</v>
      </c>
      <c r="N12" s="53">
        <v>2.6342505638900628</v>
      </c>
      <c r="O12" s="53">
        <v>2.3410568994775232</v>
      </c>
      <c r="P12" s="53">
        <v>2.1406976493663548</v>
      </c>
      <c r="Q12" s="53">
        <v>1.9868068757555095</v>
      </c>
      <c r="R12" s="53">
        <v>1.877518011280793</v>
      </c>
      <c r="S12" s="53">
        <v>1.7511725760628369</v>
      </c>
      <c r="T12" s="53">
        <v>1.6423792220234521</v>
      </c>
      <c r="U12" s="53">
        <v>1.5542122971792198</v>
      </c>
      <c r="V12" s="54">
        <v>1.4908508108364964</v>
      </c>
      <c r="X12" s="43" t="s">
        <v>10</v>
      </c>
      <c r="Y12" s="52">
        <f ca="1">SUM(Y6:Y11)</f>
        <v>3.3243338460314424</v>
      </c>
      <c r="Z12" s="53">
        <f t="shared" ref="Z12:AH12" ca="1" si="8">SUM(Z6:Z11)</f>
        <v>3.1427456564125285</v>
      </c>
      <c r="AA12" s="53">
        <f t="shared" ca="1" si="8"/>
        <v>2.9774212604101993</v>
      </c>
      <c r="AB12" s="53">
        <f t="shared" ca="1" si="8"/>
        <v>2.8754505728700868</v>
      </c>
      <c r="AC12" s="53">
        <f t="shared" ca="1" si="8"/>
        <v>2.7886909533640813</v>
      </c>
      <c r="AD12" s="53">
        <f t="shared" ca="1" si="8"/>
        <v>2.6015860956312502</v>
      </c>
      <c r="AE12" s="53">
        <f t="shared" ca="1" si="8"/>
        <v>2.3989053653099073</v>
      </c>
      <c r="AF12" s="53">
        <f t="shared" ca="1" si="8"/>
        <v>2.2013121140564307</v>
      </c>
      <c r="AG12" s="53">
        <f t="shared" ca="1" si="8"/>
        <v>2.1451248799280118</v>
      </c>
      <c r="AH12" s="54">
        <f t="shared" ca="1" si="8"/>
        <v>2.0851457812543917</v>
      </c>
      <c r="AJ12" s="128" t="s">
        <v>10</v>
      </c>
      <c r="AK12" s="144">
        <f t="shared" ca="1" si="1"/>
        <v>3.3243338460314424</v>
      </c>
      <c r="AL12" s="148">
        <f t="shared" ca="1" si="2"/>
        <v>19.530905647417775</v>
      </c>
      <c r="AM12" s="132">
        <f t="shared" ca="1" si="3"/>
        <v>20.366395436332738</v>
      </c>
      <c r="AN12" s="132">
        <f t="shared" ca="1" si="4"/>
        <v>14.966260850778237</v>
      </c>
      <c r="AO12" s="45">
        <f t="shared" ca="1" si="5"/>
        <v>0.320421813953297</v>
      </c>
      <c r="AQ12" s="128" t="s">
        <v>10</v>
      </c>
      <c r="AR12" s="156">
        <f ca="1">SUM(AR6:AR11)</f>
        <v>1</v>
      </c>
      <c r="AS12" s="152">
        <f t="shared" ref="AS12:AV12" ca="1" si="9">SUM(AS6:AS11)</f>
        <v>1</v>
      </c>
      <c r="AT12" s="136">
        <f t="shared" ca="1" si="9"/>
        <v>0.99999999999999989</v>
      </c>
      <c r="AU12" s="136">
        <f t="shared" ca="1" si="9"/>
        <v>1</v>
      </c>
      <c r="AV12" s="140">
        <f t="shared" ca="1" si="9"/>
        <v>1.0000000000000002</v>
      </c>
    </row>
    <row r="13" spans="2:48" ht="15.75" thickBot="1" x14ac:dyDescent="0.3">
      <c r="B13" s="51" t="s">
        <v>93</v>
      </c>
      <c r="C13" s="55"/>
      <c r="D13" s="56">
        <f t="shared" ref="D13:L13" ca="1" si="10">-(D12-C12)</f>
        <v>0.22139681996365113</v>
      </c>
      <c r="E13" s="56">
        <f t="shared" ca="1" si="10"/>
        <v>0.15801644207042775</v>
      </c>
      <c r="F13" s="56">
        <f t="shared" ca="1" si="10"/>
        <v>9.7061050877235822E-2</v>
      </c>
      <c r="G13" s="56">
        <f t="shared" ca="1" si="10"/>
        <v>0.14675536024982616</v>
      </c>
      <c r="H13" s="56">
        <f t="shared" ca="1" si="10"/>
        <v>0.18780153831884983</v>
      </c>
      <c r="I13" s="56">
        <f t="shared" ca="1" si="10"/>
        <v>0.20055793930048726</v>
      </c>
      <c r="J13" s="56">
        <f t="shared" ca="1" si="10"/>
        <v>0.19620176439814774</v>
      </c>
      <c r="K13" s="56">
        <f t="shared" ca="1" si="10"/>
        <v>5.7472923180095004E-2</v>
      </c>
      <c r="L13" s="57">
        <f t="shared" ca="1" si="10"/>
        <v>6.1804110311810767E-2</v>
      </c>
      <c r="M13" s="55"/>
      <c r="N13" s="56">
        <v>0.17473928436586972</v>
      </c>
      <c r="O13" s="56">
        <v>0.29319366441253969</v>
      </c>
      <c r="P13" s="56">
        <v>0.2003592501111684</v>
      </c>
      <c r="Q13" s="56">
        <v>0.15389077361084524</v>
      </c>
      <c r="R13" s="56">
        <v>0.10928886447471653</v>
      </c>
      <c r="S13" s="56">
        <v>0.12634543521795605</v>
      </c>
      <c r="T13" s="56">
        <v>0.10879335403938484</v>
      </c>
      <c r="U13" s="56">
        <v>8.8166924844232275E-2</v>
      </c>
      <c r="V13" s="57">
        <v>6.3361486342723428E-2</v>
      </c>
      <c r="X13" s="51" t="s">
        <v>93</v>
      </c>
      <c r="Y13" s="55"/>
      <c r="Z13" s="56">
        <f t="shared" ref="Z13" ca="1" si="11">-(Z12-Y12)</f>
        <v>0.18158818961891399</v>
      </c>
      <c r="AA13" s="56">
        <f t="shared" ref="AA13" ca="1" si="12">-(AA12-Z12)</f>
        <v>0.16532439600232918</v>
      </c>
      <c r="AB13" s="56">
        <f t="shared" ref="AB13" ca="1" si="13">-(AB12-AA12)</f>
        <v>0.10197068754011251</v>
      </c>
      <c r="AC13" s="56">
        <f t="shared" ref="AC13" ca="1" si="14">-(AC12-AB12)</f>
        <v>8.6759619506005414E-2</v>
      </c>
      <c r="AD13" s="56">
        <f t="shared" ref="AD13" ca="1" si="15">-(AD12-AC12)</f>
        <v>0.18710485773283114</v>
      </c>
      <c r="AE13" s="56">
        <f t="shared" ref="AE13" ca="1" si="16">-(AE12-AD12)</f>
        <v>0.20268073032134293</v>
      </c>
      <c r="AF13" s="56">
        <f t="shared" ref="AF13" ca="1" si="17">-(AF12-AE12)</f>
        <v>0.1975932512534766</v>
      </c>
      <c r="AG13" s="56">
        <f t="shared" ref="AG13" ca="1" si="18">-(AG12-AF12)</f>
        <v>5.6187234128418861E-2</v>
      </c>
      <c r="AH13" s="57">
        <f t="shared" ref="AH13" ca="1" si="19">-(AH12-AG12)</f>
        <v>5.9979098673620168E-2</v>
      </c>
    </row>
    <row r="14" spans="2:48" ht="15.75" thickBot="1" x14ac:dyDescent="0.3">
      <c r="B14" s="51" t="s">
        <v>223</v>
      </c>
      <c r="C14" s="74"/>
      <c r="D14" s="75">
        <f t="shared" ref="D14:L14" ca="1" si="20">1-D12/$C12</f>
        <v>7.5058461847702596E-2</v>
      </c>
      <c r="E14" s="75">
        <f t="shared" ca="1" si="20"/>
        <v>0.12862956142537563</v>
      </c>
      <c r="F14" s="75">
        <f t="shared" ca="1" si="20"/>
        <v>0.16153542333144555</v>
      </c>
      <c r="G14" s="75">
        <f t="shared" ca="1" si="20"/>
        <v>0.21128876491090409</v>
      </c>
      <c r="H14" s="75">
        <f t="shared" ca="1" si="20"/>
        <v>0.27495767669183913</v>
      </c>
      <c r="I14" s="75">
        <f t="shared" ca="1" si="20"/>
        <v>0.34295129303064187</v>
      </c>
      <c r="J14" s="75">
        <f t="shared" ca="1" si="20"/>
        <v>0.40946806888111753</v>
      </c>
      <c r="K14" s="75">
        <f t="shared" ca="1" si="20"/>
        <v>0.42895267219428779</v>
      </c>
      <c r="L14" s="76">
        <f t="shared" ca="1" si="20"/>
        <v>0.44990564458400806</v>
      </c>
      <c r="M14" s="74"/>
      <c r="N14" s="75">
        <v>6.2207161223584717E-2</v>
      </c>
      <c r="O14" s="75">
        <v>0.1665840654671441</v>
      </c>
      <c r="P14" s="75">
        <v>0.23791193097565388</v>
      </c>
      <c r="Q14" s="75">
        <v>0.29269702523521268</v>
      </c>
      <c r="R14" s="75">
        <v>0.33160384597099168</v>
      </c>
      <c r="S14" s="75">
        <v>0.37658280354764595</v>
      </c>
      <c r="T14" s="75">
        <v>0.41531322263653414</v>
      </c>
      <c r="U14" s="75">
        <v>0.44670063576619501</v>
      </c>
      <c r="V14" s="76">
        <v>0.46925731619779709</v>
      </c>
      <c r="X14" s="51" t="s">
        <v>223</v>
      </c>
      <c r="Y14" s="74"/>
      <c r="Z14" s="75">
        <f ca="1">1-Z12/$Y12</f>
        <v>5.4623933103377098E-2</v>
      </c>
      <c r="AA14" s="75">
        <f t="shared" ref="AA14:AH14" ca="1" si="21">1-AA12/$Y12</f>
        <v>0.10435551953826294</v>
      </c>
      <c r="AB14" s="75">
        <f t="shared" ca="1" si="21"/>
        <v>0.13502954094012798</v>
      </c>
      <c r="AC14" s="75">
        <f t="shared" ca="1" si="21"/>
        <v>0.1611278883156716</v>
      </c>
      <c r="AD14" s="75">
        <f t="shared" ca="1" si="21"/>
        <v>0.21741130219607807</v>
      </c>
      <c r="AE14" s="75">
        <f t="shared" ca="1" si="21"/>
        <v>0.27838012774387955</v>
      </c>
      <c r="AF14" s="75">
        <f t="shared" ca="1" si="21"/>
        <v>0.3378185777928604</v>
      </c>
      <c r="AG14" s="75">
        <f t="shared" ca="1" si="21"/>
        <v>0.35472038029849462</v>
      </c>
      <c r="AH14" s="76">
        <f t="shared" ca="1" si="21"/>
        <v>0.37276282171731379</v>
      </c>
    </row>
    <row r="15" spans="2:48" x14ac:dyDescent="0.25">
      <c r="B15" s="70" t="s">
        <v>255</v>
      </c>
      <c r="C15" s="2"/>
      <c r="D15" s="2"/>
      <c r="E15" s="2"/>
      <c r="F15" s="2"/>
      <c r="G15" s="2"/>
      <c r="H15" s="2"/>
      <c r="I15" s="2"/>
      <c r="J15" s="2"/>
      <c r="K15" s="2"/>
      <c r="L15" s="2"/>
    </row>
    <row r="16" spans="2:48" ht="15.75" thickBot="1" x14ac:dyDescent="0.3">
      <c r="B16" s="70" t="s">
        <v>95</v>
      </c>
      <c r="C16" s="119">
        <f ca="1">5%*C12</f>
        <v>0.14748291832363714</v>
      </c>
    </row>
    <row r="17" spans="2:48" x14ac:dyDescent="0.25">
      <c r="B17" s="70" t="s">
        <v>97</v>
      </c>
      <c r="C17" s="115"/>
      <c r="D17" s="116">
        <f ca="1">$C16</f>
        <v>0.14748291832363714</v>
      </c>
      <c r="E17" s="116">
        <f t="shared" ref="E17:L17" ca="1" si="22">D17+$C16</f>
        <v>0.29496583664727427</v>
      </c>
      <c r="F17" s="116">
        <f t="shared" ca="1" si="22"/>
        <v>0.44244875497091141</v>
      </c>
      <c r="G17" s="116">
        <f t="shared" ca="1" si="22"/>
        <v>0.58993167329454854</v>
      </c>
      <c r="H17" s="116">
        <f t="shared" ca="1" si="22"/>
        <v>0.73741459161818568</v>
      </c>
      <c r="I17" s="116">
        <f t="shared" ca="1" si="22"/>
        <v>0.88489750994182281</v>
      </c>
      <c r="J17" s="116">
        <f t="shared" ca="1" si="22"/>
        <v>1.0323804282654598</v>
      </c>
      <c r="K17" s="116">
        <f t="shared" ca="1" si="22"/>
        <v>1.1798633465890971</v>
      </c>
      <c r="L17" s="116">
        <f t="shared" ca="1" si="22"/>
        <v>1.3273462649127343</v>
      </c>
      <c r="X17" s="39"/>
      <c r="Y17" s="271" t="s">
        <v>225</v>
      </c>
      <c r="Z17" s="272"/>
      <c r="AA17" s="272"/>
      <c r="AB17" s="272"/>
      <c r="AC17" s="272"/>
      <c r="AD17" s="272"/>
      <c r="AE17" s="272"/>
      <c r="AF17" s="272"/>
      <c r="AG17" s="272"/>
      <c r="AH17" s="273"/>
      <c r="AJ17" s="271" t="s">
        <v>246</v>
      </c>
      <c r="AK17" s="272"/>
      <c r="AL17" s="272"/>
      <c r="AM17" s="272"/>
      <c r="AN17" s="272"/>
      <c r="AO17" s="273"/>
      <c r="AQ17" s="271" t="s">
        <v>244</v>
      </c>
      <c r="AR17" s="272"/>
      <c r="AS17" s="272"/>
      <c r="AT17" s="272"/>
      <c r="AU17" s="272"/>
      <c r="AV17" s="273"/>
    </row>
    <row r="18" spans="2:48" ht="15.75" thickBot="1" x14ac:dyDescent="0.3">
      <c r="B18" s="70" t="s">
        <v>98</v>
      </c>
      <c r="C18" s="115"/>
      <c r="D18" s="117">
        <f ca="1">D13</f>
        <v>0.22139681996365113</v>
      </c>
      <c r="E18" s="117">
        <f t="shared" ref="E18:L18" ca="1" si="23">D18+E13</f>
        <v>0.37941326203407888</v>
      </c>
      <c r="F18" s="117">
        <f t="shared" ca="1" si="23"/>
        <v>0.4764743129113147</v>
      </c>
      <c r="G18" s="117">
        <f t="shared" ca="1" si="23"/>
        <v>0.62322967316114086</v>
      </c>
      <c r="H18" s="117">
        <f t="shared" ca="1" si="23"/>
        <v>0.81103121147999069</v>
      </c>
      <c r="I18" s="117">
        <f t="shared" ca="1" si="23"/>
        <v>1.011589150780478</v>
      </c>
      <c r="J18" s="117">
        <f t="shared" ca="1" si="23"/>
        <v>1.2077909151786257</v>
      </c>
      <c r="K18" s="117">
        <f t="shared" ca="1" si="23"/>
        <v>1.2652638383587207</v>
      </c>
      <c r="L18" s="116">
        <f t="shared" ca="1" si="23"/>
        <v>1.3270679486705315</v>
      </c>
      <c r="X18" s="40" t="s">
        <v>1</v>
      </c>
      <c r="Y18" s="48">
        <v>2020</v>
      </c>
      <c r="Z18" s="34">
        <v>2021</v>
      </c>
      <c r="AA18" s="34">
        <v>2022</v>
      </c>
      <c r="AB18" s="34">
        <v>2023</v>
      </c>
      <c r="AC18" s="34">
        <v>2024</v>
      </c>
      <c r="AD18" s="34">
        <v>2025</v>
      </c>
      <c r="AE18" s="34">
        <v>2026</v>
      </c>
      <c r="AF18" s="34">
        <v>2027</v>
      </c>
      <c r="AG18" s="34">
        <v>2028</v>
      </c>
      <c r="AH18" s="35">
        <v>2029</v>
      </c>
      <c r="AJ18" s="124" t="s">
        <v>1</v>
      </c>
      <c r="AK18" s="157" t="s">
        <v>2</v>
      </c>
      <c r="AL18" s="158" t="s">
        <v>4</v>
      </c>
      <c r="AM18" s="159" t="s">
        <v>3</v>
      </c>
      <c r="AN18" s="159" t="s">
        <v>5</v>
      </c>
      <c r="AO18" s="160" t="s">
        <v>6</v>
      </c>
      <c r="AQ18" s="124" t="s">
        <v>1</v>
      </c>
      <c r="AR18" s="157" t="s">
        <v>2</v>
      </c>
      <c r="AS18" s="158" t="s">
        <v>4</v>
      </c>
      <c r="AT18" s="159" t="s">
        <v>3</v>
      </c>
      <c r="AU18" s="159" t="s">
        <v>5</v>
      </c>
      <c r="AV18" s="160" t="s">
        <v>6</v>
      </c>
    </row>
    <row r="19" spans="2:48" x14ac:dyDescent="0.25">
      <c r="B19" s="70" t="s">
        <v>99</v>
      </c>
      <c r="C19" s="115"/>
      <c r="D19" s="118">
        <f t="shared" ref="D19:K19" ca="1" si="24">D18-D17</f>
        <v>7.391390164001399E-2</v>
      </c>
      <c r="E19" s="118">
        <f t="shared" ca="1" si="24"/>
        <v>8.4447425386804609E-2</v>
      </c>
      <c r="F19" s="118">
        <f t="shared" ca="1" si="24"/>
        <v>3.4025557940403295E-2</v>
      </c>
      <c r="G19" s="118">
        <f t="shared" ca="1" si="24"/>
        <v>3.329799986659232E-2</v>
      </c>
      <c r="H19" s="118">
        <f t="shared" ca="1" si="24"/>
        <v>7.361661986180501E-2</v>
      </c>
      <c r="I19" s="118">
        <f t="shared" ca="1" si="24"/>
        <v>0.12669164083865514</v>
      </c>
      <c r="J19" s="118">
        <f t="shared" ca="1" si="24"/>
        <v>0.17541048691316585</v>
      </c>
      <c r="K19" s="118">
        <f t="shared" ca="1" si="24"/>
        <v>8.540049176962361E-2</v>
      </c>
      <c r="L19" s="118">
        <f>0</f>
        <v>0</v>
      </c>
      <c r="X19" s="41" t="s">
        <v>7</v>
      </c>
      <c r="Y19" s="37">
        <f ca="1">OFFSET(PointsNoBACT!$A$5,MATCH(Y$5,PointsNoBACT!$A$6:$A$15,0),MATCH("SO2",PointsNoBACT!$B$5:$H$5,0))</f>
        <v>6.6268895078480279</v>
      </c>
      <c r="Z19" s="32">
        <f ca="1">OFFSET(PointsNoBACT!$A$5,MATCH(Z$5,PointsNoBACT!$A$6:$A$15,0),MATCH("SO2",PointsNoBACT!$B$5:$H$5,0))</f>
        <v>6.8204578232739177</v>
      </c>
      <c r="AA19" s="32">
        <f ca="1">OFFSET(PointsNoBACT!$A$5,MATCH(AA$5,PointsNoBACT!$A$6:$A$15,0),MATCH("SO2",PointsNoBACT!$B$5:$H$5,0))</f>
        <v>6.9054498596004308</v>
      </c>
      <c r="AB19" s="32">
        <f ca="1">OFFSET(PointsNoBACT!$A$5,MATCH(AB$5,PointsNoBACT!$A$6:$A$15,0),MATCH("SO2",PointsNoBACT!$B$5:$H$5,0))</f>
        <v>6.9521237532994364</v>
      </c>
      <c r="AC19" s="32">
        <f ca="1">OFFSET(PointsNoBACT!$A$5,MATCH(AC$5,PointsNoBACT!$A$6:$A$15,0),MATCH("SO2",PointsNoBACT!$B$5:$H$5,0))</f>
        <v>7.0004589740748484</v>
      </c>
      <c r="AD19" s="32">
        <f ca="1">OFFSET(PointsNoBACT!$A$5,MATCH(AD$5,PointsNoBACT!$A$6:$A$15,0),MATCH("SO2",PointsNoBACT!$B$5:$H$5,0))</f>
        <v>7.0499571238037939</v>
      </c>
      <c r="AE19" s="32">
        <f ca="1">OFFSET(PointsNoBACT!$A$5,MATCH(AE$5,PointsNoBACT!$A$6:$A$15,0),MATCH("SO2",PointsNoBACT!$B$5:$H$5,0))</f>
        <v>7.0975032951730768</v>
      </c>
      <c r="AF19" s="32">
        <f ca="1">OFFSET(PointsNoBACT!$A$5,MATCH(AF$5,PointsNoBACT!$A$6:$A$15,0),MATCH("SO2",PointsNoBACT!$B$5:$H$5,0))</f>
        <v>7.1450494665423605</v>
      </c>
      <c r="AG19" s="32">
        <f ca="1">OFFSET(PointsNoBACT!$A$5,MATCH(AG$5,PointsNoBACT!$A$6:$A$15,0),MATCH("SO2",PointsNoBACT!$B$5:$H$5,0))</f>
        <v>7.1925956379116434</v>
      </c>
      <c r="AH19" s="33">
        <f ca="1">OFFSET(PointsNoBACT!$A$5,MATCH(AH$5,PointsNoBACT!$A$6:$A$15,0),MATCH("SO2",PointsNoBACT!$B$5:$H$5,0))</f>
        <v>7.2401418092809253</v>
      </c>
      <c r="AJ19" s="125" t="s">
        <v>238</v>
      </c>
      <c r="AK19" s="161">
        <f>SUM(TabSpHt2020!T78:T87)</f>
        <v>2.0586000000000002</v>
      </c>
      <c r="AL19" s="88">
        <f>SUM(TabSpHt2020!U78:U87)</f>
        <v>4.9199999999999994E-2</v>
      </c>
      <c r="AM19" s="32">
        <f>SUM(TabSpHt2020!R78:R87)</f>
        <v>0.27379999999999999</v>
      </c>
      <c r="AN19" s="32">
        <f>SUM(TabSpHt2020!V78:V87)</f>
        <v>7.0198</v>
      </c>
      <c r="AO19" s="33">
        <f>SUM(TabSpHt2020!Q78:Q87)</f>
        <v>7.3899999999999993E-2</v>
      </c>
      <c r="AQ19" s="125" t="s">
        <v>238</v>
      </c>
      <c r="AR19" s="165">
        <f>AK19/AK$25</f>
        <v>0.96016791044776106</v>
      </c>
      <c r="AS19" s="168">
        <f t="shared" ref="AS19:AV24" si="25">AL19/AL$25</f>
        <v>1.2449077705523644E-2</v>
      </c>
      <c r="AT19" s="169">
        <f t="shared" si="25"/>
        <v>0.11786990399931122</v>
      </c>
      <c r="AU19" s="169">
        <f t="shared" si="25"/>
        <v>0.98334430638631676</v>
      </c>
      <c r="AV19" s="170">
        <f t="shared" si="25"/>
        <v>0.63542562338779007</v>
      </c>
    </row>
    <row r="20" spans="2:48" x14ac:dyDescent="0.25">
      <c r="B20" s="70" t="s">
        <v>229</v>
      </c>
      <c r="C20" s="114" t="s">
        <v>168</v>
      </c>
      <c r="D20" s="114" t="str">
        <f t="shared" ref="D20" ca="1" si="26">IF(D19&gt;=0,"Yes","No")</f>
        <v>Yes</v>
      </c>
      <c r="E20" s="114" t="str">
        <f t="shared" ref="E20" ca="1" si="27">IF(E19&gt;=0,"Yes","No")</f>
        <v>Yes</v>
      </c>
      <c r="F20" s="114" t="str">
        <f t="shared" ref="F20" ca="1" si="28">IF(F19&gt;=0,"Yes","No")</f>
        <v>Yes</v>
      </c>
      <c r="G20" s="114" t="str">
        <f t="shared" ref="G20" ca="1" si="29">IF(G19&gt;=0,"Yes","No")</f>
        <v>Yes</v>
      </c>
      <c r="H20" s="114" t="str">
        <f t="shared" ref="H20" ca="1" si="30">IF(H19&gt;=0,"Yes","No")</f>
        <v>Yes</v>
      </c>
      <c r="I20" s="114" t="str">
        <f t="shared" ref="I20" ca="1" si="31">IF(I19&gt;=0,"Yes","No")</f>
        <v>Yes</v>
      </c>
      <c r="J20" s="114" t="str">
        <f t="shared" ref="J20" ca="1" si="32">IF(J19&gt;=0,"Yes","No")</f>
        <v>Yes</v>
      </c>
      <c r="K20" s="114" t="str">
        <f t="shared" ref="K20" ca="1" si="33">IF(K19&gt;=0,"Yes","No")</f>
        <v>Yes</v>
      </c>
      <c r="L20" s="114" t="str">
        <f t="shared" ref="L20" si="34">IF(L19&gt;=0,"Yes","No")</f>
        <v>Yes</v>
      </c>
      <c r="X20" s="42" t="s">
        <v>16</v>
      </c>
      <c r="Y20" s="38" cm="1">
        <f t="array" aca="1" ref="Y20" ca="1">INDIRECT("TabSpHt"&amp;Y$18&amp;"!U69")</f>
        <v>3.9519000000000002</v>
      </c>
      <c r="Z20" s="181" cm="1">
        <f t="array" aca="1" ref="Z20" ca="1">INDIRECT("TabSpHt"&amp;Z$18&amp;"!U69")/INDIRECT("TabSpHt"&amp;Z$18&amp;"!N69")*D25</f>
        <v>4.009688008572633</v>
      </c>
      <c r="AA20" s="181" cm="1">
        <f t="array" aca="1" ref="AA20" ca="1">INDIRECT("TabSpHt"&amp;AA$18&amp;"!U69")/INDIRECT("TabSpHt"&amp;AA$18&amp;"!N69")*E25</f>
        <v>4.0237406095615844</v>
      </c>
      <c r="AB20" s="181" cm="1">
        <f t="array" aca="1" ref="AB20" ca="1">INDIRECT("TabSpHt"&amp;AB$18&amp;"!U69")/INDIRECT("TabSpHt"&amp;AB$18&amp;"!N69")*F25</f>
        <v>2.5597610214739235</v>
      </c>
      <c r="AC20" s="30" cm="1">
        <f t="array" aca="1" ref="AC20" ca="1">INDIRECT("TabSpHt"&amp;AC$18&amp;"!U69")</f>
        <v>2.2538</v>
      </c>
      <c r="AD20" s="30" cm="1">
        <f t="array" aca="1" ref="AD20" ca="1">INDIRECT("TabSpHt"&amp;AD$18&amp;"!U69")</f>
        <v>2.2593999999999999</v>
      </c>
      <c r="AE20" s="30" cm="1">
        <f t="array" aca="1" ref="AE20" ca="1">INDIRECT("TabSpHt"&amp;AE$18&amp;"!U69")</f>
        <v>2.2677</v>
      </c>
      <c r="AF20" s="30" cm="1">
        <f t="array" aca="1" ref="AF20" ca="1">INDIRECT("TabSpHt"&amp;AF$18&amp;"!U69")</f>
        <v>2.2757999999999998</v>
      </c>
      <c r="AG20" s="30" cm="1">
        <f t="array" aca="1" ref="AG20" ca="1">INDIRECT("TabSpHt"&amp;AG$18&amp;"!U69")</f>
        <v>2.2829999999999999</v>
      </c>
      <c r="AH20" s="31" cm="1">
        <f t="array" aca="1" ref="AH20" ca="1">INDIRECT("TabSpHt"&amp;AH$18&amp;"!U69")</f>
        <v>2.2894000000000001</v>
      </c>
      <c r="AJ20" s="126" t="s">
        <v>239</v>
      </c>
      <c r="AK20" s="162">
        <f>TabSpHt2020!T76</f>
        <v>5.4300000000000001E-2</v>
      </c>
      <c r="AL20" s="89">
        <f>TabSpHt2020!U76</f>
        <v>3.4769000000000001</v>
      </c>
      <c r="AM20" s="30">
        <f>TabSpHt2020!R76</f>
        <v>1.3369</v>
      </c>
      <c r="AN20" s="30">
        <f>TabSpHt2020!V76</f>
        <v>8.4900000000000003E-2</v>
      </c>
      <c r="AO20" s="31">
        <f>TabSpHt2020!Q76</f>
        <v>2.8999999999999998E-3</v>
      </c>
      <c r="AQ20" s="126" t="s">
        <v>239</v>
      </c>
      <c r="AR20" s="166">
        <f t="shared" ref="AR20:AR24" si="35">AK20/AK$25</f>
        <v>2.5326492537313425E-2</v>
      </c>
      <c r="AS20" s="171">
        <f t="shared" si="25"/>
        <v>0.8797601275271375</v>
      </c>
      <c r="AT20" s="172">
        <f t="shared" si="25"/>
        <v>0.5755305867665419</v>
      </c>
      <c r="AU20" s="172">
        <f t="shared" si="25"/>
        <v>1.1892921680418002E-2</v>
      </c>
      <c r="AV20" s="173">
        <f t="shared" si="25"/>
        <v>2.493551160791057E-2</v>
      </c>
    </row>
    <row r="21" spans="2:48" ht="15.75" thickBot="1" x14ac:dyDescent="0.3">
      <c r="B21" s="70" t="s">
        <v>259</v>
      </c>
      <c r="C21" s="79">
        <f ca="1">C9/C12</f>
        <v>2.5045019790247126E-2</v>
      </c>
      <c r="F21" s="79">
        <f ca="1">F9/F12</f>
        <v>2.5236374150481012E-2</v>
      </c>
      <c r="I21" s="79">
        <f ca="1">I9/I12</f>
        <v>2.7749240698364271E-2</v>
      </c>
      <c r="J21" s="79">
        <f ca="1">J9/J12</f>
        <v>2.9630492971100278E-2</v>
      </c>
      <c r="L21" s="79">
        <f ca="1">L9/L12</f>
        <v>2.9888683669410488E-2</v>
      </c>
      <c r="X21" s="42" t="s">
        <v>17</v>
      </c>
      <c r="Y21" s="38" cm="1">
        <f t="array" aca="1" ref="Y21" ca="1">INDIRECT("'"&amp;Y$18&amp;"NRARSummary'!I5")</f>
        <v>0.67045469555427595</v>
      </c>
      <c r="Z21" s="38" cm="1">
        <f t="array" aca="1" ref="Z21" ca="1">INDIRECT("'"&amp;Z$18&amp;"NRARSummary'!I5")</f>
        <v>0.67933678287056865</v>
      </c>
      <c r="AA21" s="38" cm="1">
        <f t="array" aca="1" ref="AA21" ca="1">INDIRECT("'"&amp;AA$18&amp;"NRARSummary'!I5")</f>
        <v>0.69061900928331854</v>
      </c>
      <c r="AB21" s="38" cm="1">
        <f t="array" aca="1" ref="AB21" ca="1">INDIRECT("'"&amp;AB$18&amp;"NRARSummary'!I5")</f>
        <v>0.70077152119956898</v>
      </c>
      <c r="AC21" s="38" cm="1">
        <f t="array" aca="1" ref="AC21" ca="1">INDIRECT("'"&amp;AC$18&amp;"NRARSummary'!I5")</f>
        <v>0.71063097015634091</v>
      </c>
      <c r="AD21" s="30" cm="1">
        <f t="array" aca="1" ref="AD21" ca="1">INDIRECT("'"&amp;AD$18&amp;"NRARSummary'!I5")</f>
        <v>0.72022455774696115</v>
      </c>
      <c r="AE21" s="38" cm="1">
        <f t="array" aca="1" ref="AE21" ca="1">INDIRECT("'"&amp;AE$18&amp;"NRARSummary'!I5")</f>
        <v>0.72888043122684099</v>
      </c>
      <c r="AF21" s="30" cm="1">
        <f t="array" aca="1" ref="AF21" ca="1">INDIRECT("'"&amp;AF$18&amp;"NRARSummary'!I5")</f>
        <v>0.73753630470672082</v>
      </c>
      <c r="AG21" s="30" cm="1">
        <f t="array" aca="1" ref="AG21" ca="1">INDIRECT("'"&amp;AG$18&amp;"NRARSummary'!I5")</f>
        <v>0.74619217818660077</v>
      </c>
      <c r="AH21" s="31" cm="1">
        <f t="array" aca="1" ref="AH21" ca="1">INDIRECT("'"&amp;AH$18&amp;"NRARSummary'!I5")</f>
        <v>0.75484805166648061</v>
      </c>
      <c r="AJ21" s="126" t="s">
        <v>240</v>
      </c>
      <c r="AK21" s="162">
        <f>SUM(TabSpHt2020!T75,TabSpHt2020!T77)</f>
        <v>1.6999999999999999E-3</v>
      </c>
      <c r="AL21" s="89">
        <f>SUM(TabSpHt2020!U75,TabSpHt2020!U77)</f>
        <v>2E-3</v>
      </c>
      <c r="AM21" s="30">
        <f>SUM(TabSpHt2020!R75,TabSpHt2020!R77)</f>
        <v>1.3999999999999999E-2</v>
      </c>
      <c r="AN21" s="30">
        <f>SUM(TabSpHt2020!V75,TabSpHt2020!V77)</f>
        <v>2.8999999999999998E-3</v>
      </c>
      <c r="AO21" s="31">
        <f>SUM(TabSpHt2020!Q75,TabSpHt2020!Q77)</f>
        <v>3.0999999999999999E-3</v>
      </c>
      <c r="AQ21" s="126" t="s">
        <v>240</v>
      </c>
      <c r="AR21" s="166">
        <f t="shared" si="35"/>
        <v>7.9291044776119376E-4</v>
      </c>
      <c r="AS21" s="171">
        <f t="shared" si="25"/>
        <v>5.0606006933022951E-4</v>
      </c>
      <c r="AT21" s="172">
        <f t="shared" si="25"/>
        <v>6.026949072280339E-3</v>
      </c>
      <c r="AU21" s="172">
        <f t="shared" si="25"/>
        <v>4.062364296020283E-4</v>
      </c>
      <c r="AV21" s="173">
        <f t="shared" si="25"/>
        <v>2.6655202063628543E-2</v>
      </c>
    </row>
    <row r="22" spans="2:48" ht="15.75" thickBot="1" x14ac:dyDescent="0.3">
      <c r="B22" s="39"/>
      <c r="C22" s="266" t="s">
        <v>59</v>
      </c>
      <c r="D22" s="263"/>
      <c r="E22" s="263"/>
      <c r="F22" s="263"/>
      <c r="G22" s="263"/>
      <c r="H22" s="263"/>
      <c r="I22" s="263"/>
      <c r="J22" s="263"/>
      <c r="K22" s="263"/>
      <c r="L22" s="265"/>
      <c r="X22" s="42" t="s">
        <v>19</v>
      </c>
      <c r="Y22" s="38">
        <f ca="1">OFFSET(OnRoad!$S$6,MATCH(Y18,OnRoad!$A$7:$A$16,0),0)</f>
        <v>4.2315867801394833E-3</v>
      </c>
      <c r="Z22" s="38">
        <f ca="1">OFFSET(OnRoad!$S$6,MATCH(Z18,OnRoad!$A$7:$A$16,0),0)</f>
        <v>4.1211841274960276E-3</v>
      </c>
      <c r="AA22" s="38">
        <f ca="1">OFFSET(OnRoad!$S$6,MATCH(AA18,OnRoad!$A$7:$A$16,0),0)</f>
        <v>4.2268226558694237E-3</v>
      </c>
      <c r="AB22" s="38">
        <f ca="1">OFFSET(OnRoad!$S$6,MATCH(AB18,OnRoad!$A$7:$A$16,0),0)</f>
        <v>4.1399145240941897E-3</v>
      </c>
      <c r="AC22" s="38">
        <f ca="1">OFFSET(OnRoad!$S$6,MATCH(AC18,OnRoad!$A$7:$A$16,0),0)</f>
        <v>4.0567832806450016E-3</v>
      </c>
      <c r="AD22" s="38">
        <f ca="1">OFFSET(OnRoad!$S$6,MATCH(AD18,OnRoad!$A$7:$A$16,0),0)</f>
        <v>3.9801685960569981E-3</v>
      </c>
      <c r="AE22" s="38">
        <f ca="1">OFFSET(OnRoad!$S$6,MATCH(AE18,OnRoad!$A$7:$A$16,0),0)</f>
        <v>3.9043676903227232E-3</v>
      </c>
      <c r="AF22" s="38">
        <f ca="1">OFFSET(OnRoad!$S$6,MATCH(AF18,OnRoad!$A$7:$A$16,0),0)</f>
        <v>3.8420971295871119E-3</v>
      </c>
      <c r="AG22" s="38">
        <f ca="1">OFFSET(OnRoad!$S$6,MATCH(AG18,OnRoad!$A$7:$A$16,0),0)</f>
        <v>3.7808805237378425E-3</v>
      </c>
      <c r="AH22" s="31">
        <f ca="1">OFFSET(OnRoad!$S$6,MATCH(AH18,OnRoad!$A$7:$A$16,0),0)</f>
        <v>3.7782792943237922E-3</v>
      </c>
      <c r="AJ22" s="126" t="s">
        <v>243</v>
      </c>
      <c r="AK22" s="162">
        <f>TabSpHt2020!T74</f>
        <v>2.9999999999999997E-4</v>
      </c>
      <c r="AL22" s="89">
        <f>TabSpHt2020!U74</f>
        <v>0</v>
      </c>
      <c r="AM22" s="30">
        <f>TabSpHt2020!R74</f>
        <v>0</v>
      </c>
      <c r="AN22" s="30">
        <f>TabSpHt2020!V74</f>
        <v>1E-3</v>
      </c>
      <c r="AO22" s="31">
        <f>TabSpHt2020!Q74</f>
        <v>0</v>
      </c>
      <c r="AQ22" s="126" t="s">
        <v>243</v>
      </c>
      <c r="AR22" s="166">
        <f t="shared" si="35"/>
        <v>1.3992537313432831E-4</v>
      </c>
      <c r="AS22" s="171">
        <f t="shared" si="25"/>
        <v>0</v>
      </c>
      <c r="AT22" s="172">
        <f t="shared" si="25"/>
        <v>0</v>
      </c>
      <c r="AU22" s="172">
        <f t="shared" si="25"/>
        <v>1.400815274489753E-4</v>
      </c>
      <c r="AV22" s="173">
        <f t="shared" si="25"/>
        <v>0</v>
      </c>
    </row>
    <row r="23" spans="2:48" ht="15.75" thickBot="1" x14ac:dyDescent="0.3">
      <c r="B23" s="40" t="s">
        <v>1</v>
      </c>
      <c r="C23" s="48">
        <v>2020</v>
      </c>
      <c r="D23" s="34">
        <v>2021</v>
      </c>
      <c r="E23" s="34">
        <v>2022</v>
      </c>
      <c r="F23" s="34">
        <v>2023</v>
      </c>
      <c r="G23" s="34">
        <v>2024</v>
      </c>
      <c r="H23" s="34">
        <v>2025</v>
      </c>
      <c r="I23" s="34">
        <v>2026</v>
      </c>
      <c r="J23" s="34">
        <v>2027</v>
      </c>
      <c r="K23" s="34">
        <v>2028</v>
      </c>
      <c r="L23" s="35">
        <v>2029</v>
      </c>
      <c r="M23" s="96">
        <v>2020</v>
      </c>
      <c r="N23" s="97">
        <v>2021</v>
      </c>
      <c r="O23" s="97">
        <v>2022</v>
      </c>
      <c r="P23" s="97">
        <v>2023</v>
      </c>
      <c r="Q23" s="97">
        <v>2024</v>
      </c>
      <c r="R23" s="97">
        <v>2025</v>
      </c>
      <c r="S23" s="97">
        <v>2026</v>
      </c>
      <c r="T23" s="97">
        <v>2027</v>
      </c>
      <c r="U23" s="97">
        <v>2028</v>
      </c>
      <c r="V23" s="98">
        <v>2029</v>
      </c>
      <c r="X23" s="42" t="s">
        <v>173</v>
      </c>
      <c r="Y23" s="102" cm="1">
        <f t="array" aca="1" ref="Y23" ca="1">INDIRECT("'"&amp;Y$18&amp;"NRARSummary'!I8")</f>
        <v>8.27450154155013</v>
      </c>
      <c r="Z23" s="30" cm="1">
        <f t="array" aca="1" ref="Z23" ca="1">INDIRECT("'"&amp;Z$18&amp;"NRARSummary'!I8")</f>
        <v>8.7712540390899534</v>
      </c>
      <c r="AA23" s="103" cm="1">
        <f t="array" aca="1" ref="AA23" ca="1">INDIRECT("'"&amp;AA$18&amp;"NRARSummary'!I8")</f>
        <v>8.8067035166151886</v>
      </c>
      <c r="AB23" s="103" cm="1">
        <f t="array" aca="1" ref="AB23" ca="1">INDIRECT("'"&amp;AB$18&amp;"NRARSummary'!I8")</f>
        <v>8.8425783878707236</v>
      </c>
      <c r="AC23" s="103" cm="1">
        <f t="array" aca="1" ref="AC23" ca="1">INDIRECT("'"&amp;AC$18&amp;"NRARSummary'!I8")</f>
        <v>8.8425783878707236</v>
      </c>
      <c r="AD23" s="103" cm="1">
        <f t="array" aca="1" ref="AD23" ca="1">INDIRECT("'"&amp;AD$18&amp;"NRARSummary'!I8")</f>
        <v>8.9156247917284546</v>
      </c>
      <c r="AE23" s="103" cm="1">
        <f t="array" aca="1" ref="AE23" ca="1">INDIRECT("'"&amp;AE$18&amp;"NRARSummary'!I8")</f>
        <v>8.9528067182853448</v>
      </c>
      <c r="AF23" s="103" cm="1">
        <f t="array" aca="1" ref="AF23" ca="1">INDIRECT("'"&amp;AF$18&amp;"NRARSummary'!I8")</f>
        <v>8.9904348279609234</v>
      </c>
      <c r="AG23" s="103" cm="1">
        <f t="array" aca="1" ref="AG23" ca="1">INDIRECT("'"&amp;AG$18&amp;"NRARSummary'!I8")</f>
        <v>9.0285144749526047</v>
      </c>
      <c r="AH23" s="104" cm="1">
        <f t="array" aca="1" ref="AH23" ca="1">INDIRECT("'"&amp;AH$18&amp;"NRARSummary'!I8")</f>
        <v>9.0670510777081912</v>
      </c>
      <c r="AJ23" s="126" t="s">
        <v>241</v>
      </c>
      <c r="AK23" s="162">
        <f>SUM(TabSpHt2020!T70,TabSpHt2020!T72)</f>
        <v>1.5200000000000002E-2</v>
      </c>
      <c r="AL23" s="89">
        <f>SUM(TabSpHt2020!U70,TabSpHt2020!U72)</f>
        <v>0.42260000000000003</v>
      </c>
      <c r="AM23" s="30">
        <f>SUM(TabSpHt2020!R70,TabSpHt2020!R72)</f>
        <v>0.51940000000000008</v>
      </c>
      <c r="AN23" s="30">
        <f>SUM(TabSpHt2020!V70,TabSpHt2020!V72)</f>
        <v>0.02</v>
      </c>
      <c r="AO23" s="31">
        <f>SUM(TabSpHt2020!Q70,TabSpHt2020!Q72)</f>
        <v>6.9999999999999999E-4</v>
      </c>
      <c r="AQ23" s="126" t="s">
        <v>241</v>
      </c>
      <c r="AR23" s="166">
        <f t="shared" si="35"/>
        <v>7.0895522388059688E-3</v>
      </c>
      <c r="AS23" s="171">
        <f t="shared" si="25"/>
        <v>0.1069304926494775</v>
      </c>
      <c r="AT23" s="172">
        <f t="shared" si="25"/>
        <v>0.22359981058160064</v>
      </c>
      <c r="AU23" s="172">
        <f t="shared" si="25"/>
        <v>2.8016305489795058E-3</v>
      </c>
      <c r="AV23" s="173">
        <f t="shared" si="25"/>
        <v>6.0189165950128966E-3</v>
      </c>
    </row>
    <row r="24" spans="2:48" ht="15.75" thickBot="1" x14ac:dyDescent="0.3">
      <c r="B24" s="41" t="s">
        <v>7</v>
      </c>
      <c r="C24" s="37">
        <f ca="1">OFFSET(PointsNoBACT!$A$5,MATCH(C$5,PointsNoBACT!$A$6:$A$15,0),MATCH("SO2",PointsNoBACT!$B$5:$H$5,0))</f>
        <v>6.6268895078480279</v>
      </c>
      <c r="D24" s="32">
        <f ca="1">OFFSET(PointsNoBACT!$A$5,MATCH(D$5,PointsNoBACT!$A$6:$A$15,0),MATCH("SO2",PointsNoBACT!$B$5:$H$5,0))</f>
        <v>6.8204578232739177</v>
      </c>
      <c r="E24" s="32">
        <f ca="1">OFFSET(PointsNoBACT!$A$5,MATCH(E$5,PointsNoBACT!$A$6:$A$15,0),MATCH("SO2",PointsNoBACT!$B$5:$H$5,0))</f>
        <v>6.9054498596004308</v>
      </c>
      <c r="F24" s="32">
        <f ca="1">OFFSET(PointsNoBACT!$A$5,MATCH(F$5,PointsNoBACT!$A$6:$A$15,0),MATCH("SO2",PointsNoBACT!$B$5:$H$5,0))</f>
        <v>6.9521237532994364</v>
      </c>
      <c r="G24" s="32">
        <f ca="1">OFFSET(PointsNoBACT!$A$5,MATCH(G$5,PointsNoBACT!$A$6:$A$15,0),MATCH("SO2",PointsNoBACT!$B$5:$H$5,0))</f>
        <v>7.0004589740748484</v>
      </c>
      <c r="H24" s="32">
        <f ca="1">OFFSET(PointsNoBACT!$A$5,MATCH(H$5,PointsNoBACT!$A$6:$A$15,0),MATCH("SO2",PointsNoBACT!$B$5:$H$5,0))</f>
        <v>7.0499571238037939</v>
      </c>
      <c r="I24" s="32">
        <f ca="1">OFFSET(PointsNoBACT!$A$5,MATCH(I$5,PointsNoBACT!$A$6:$A$15,0),MATCH("SO2",PointsNoBACT!$B$5:$H$5,0))</f>
        <v>7.0975032951730768</v>
      </c>
      <c r="J24" s="32">
        <f ca="1">OFFSET(PointsNoBACT!$A$5,MATCH(J$5,PointsNoBACT!$A$6:$A$15,0),MATCH("SO2",PointsNoBACT!$B$5:$H$5,0))</f>
        <v>7.1450494665423605</v>
      </c>
      <c r="K24" s="32">
        <f ca="1">OFFSET(PointsNoBACT!$A$5,MATCH(K$5,PointsNoBACT!$A$6:$A$15,0),MATCH("SO2",PointsNoBACT!$B$5:$H$5,0))</f>
        <v>7.1925956379116434</v>
      </c>
      <c r="L24" s="33">
        <f ca="1">OFFSET(PointsNoBACT!$A$5,MATCH(L$5,PointsNoBACT!$A$6:$A$15,0),MATCH("SO2",PointsNoBACT!$B$5:$H$5,0))</f>
        <v>7.2401418092809253</v>
      </c>
      <c r="M24" s="99">
        <v>5.827365548672776</v>
      </c>
      <c r="N24" s="32">
        <v>4.7652120974280905</v>
      </c>
      <c r="O24" s="32">
        <v>4.8245930202608829</v>
      </c>
      <c r="P24" s="32">
        <v>4.727708081200543</v>
      </c>
      <c r="Q24" s="32">
        <v>2.8141240384872148</v>
      </c>
      <c r="R24" s="32">
        <v>2.8340218671194117</v>
      </c>
      <c r="S24" s="32">
        <v>2.8531350173119696</v>
      </c>
      <c r="T24" s="32">
        <v>2.8722481675045284</v>
      </c>
      <c r="U24" s="32">
        <v>2.8913613176970849</v>
      </c>
      <c r="V24" s="33">
        <v>2.9104744678896437</v>
      </c>
      <c r="X24" s="46" t="s">
        <v>18</v>
      </c>
      <c r="Y24" s="69" cm="1">
        <f t="array" aca="1" ref="Y24" ca="1">INDIRECT("'"&amp;Y$18&amp;"NRARSummary'!I9")-INDIRECT("'"&amp;Y$18&amp;"NRARSummary'!I8")</f>
        <v>2.9283156852013548E-3</v>
      </c>
      <c r="Z24" s="47" cm="1">
        <f t="array" aca="1" ref="Z24" ca="1">INDIRECT("'"&amp;Z$18&amp;"NRARSummary'!I9")-INDIRECT("'"&amp;Z$18&amp;"NRARSummary'!I8")</f>
        <v>2.9283156852013548E-3</v>
      </c>
      <c r="AA24" s="47" cm="1">
        <f t="array" aca="1" ref="AA24" ca="1">INDIRECT("'"&amp;AA$18&amp;"NRARSummary'!I9")-INDIRECT("'"&amp;AA$18&amp;"NRARSummary'!I8")</f>
        <v>2.9283156852013548E-3</v>
      </c>
      <c r="AB24" s="47" cm="1">
        <f t="array" aca="1" ref="AB24" ca="1">INDIRECT("'"&amp;AB$18&amp;"NRARSummary'!I9")-INDIRECT("'"&amp;AB$18&amp;"NRARSummary'!I8")</f>
        <v>2.9283156852013548E-3</v>
      </c>
      <c r="AC24" s="47" cm="1">
        <f t="array" aca="1" ref="AC24" ca="1">INDIRECT("'"&amp;AC$18&amp;"NRARSummary'!I9")-INDIRECT("'"&amp;AC$18&amp;"NRARSummary'!I8")</f>
        <v>2.9283156852013548E-3</v>
      </c>
      <c r="AD24" s="47" cm="1">
        <f t="array" aca="1" ref="AD24" ca="1">INDIRECT("'"&amp;AD$18&amp;"NRARSummary'!I9")-INDIRECT("'"&amp;AD$18&amp;"NRARSummary'!I8")</f>
        <v>2.9283156852013548E-3</v>
      </c>
      <c r="AE24" s="47" cm="1">
        <f t="array" aca="1" ref="AE24" ca="1">INDIRECT("'"&amp;AE$18&amp;"NRARSummary'!I9")-INDIRECT("'"&amp;AE$18&amp;"NRARSummary'!I8")</f>
        <v>2.9283156852013548E-3</v>
      </c>
      <c r="AF24" s="47" cm="1">
        <f t="array" aca="1" ref="AF24" ca="1">INDIRECT("'"&amp;AF$18&amp;"NRARSummary'!I9")-INDIRECT("'"&amp;AF$18&amp;"NRARSummary'!I8")</f>
        <v>2.9283156852013548E-3</v>
      </c>
      <c r="AG24" s="47" cm="1">
        <f t="array" aca="1" ref="AG24" ca="1">INDIRECT("'"&amp;AG$18&amp;"NRARSummary'!I9")-INDIRECT("'"&amp;AG$18&amp;"NRARSummary'!I8")</f>
        <v>2.9283156852013548E-3</v>
      </c>
      <c r="AH24" s="58" cm="1">
        <f t="array" aca="1" ref="AH24" ca="1">INDIRECT("'"&amp;AH$18&amp;"NRARSummary'!I9")-INDIRECT("'"&amp;AH$18&amp;"NRARSummary'!I8")</f>
        <v>2.9283156852013548E-3</v>
      </c>
      <c r="AJ24" s="127" t="s">
        <v>242</v>
      </c>
      <c r="AK24" s="163">
        <f>SUM(TabSpHt2020!T71,TabSpHt2020!T73)</f>
        <v>1.3899999999999999E-2</v>
      </c>
      <c r="AL24" s="91">
        <f>SUM(TabSpHt2020!U71,TabSpHt2020!U73)</f>
        <v>1.4E-3</v>
      </c>
      <c r="AM24" s="47">
        <f>SUM(TabSpHt2020!R71,TabSpHt2020!R73)</f>
        <v>0.17880000000000001</v>
      </c>
      <c r="AN24" s="47">
        <f>SUM(TabSpHt2020!V71,TabSpHt2020!V73)</f>
        <v>1.01E-2</v>
      </c>
      <c r="AO24" s="58">
        <f>SUM(TabSpHt2020!Q71,TabSpHt2020!Q73)</f>
        <v>3.5700000000000003E-2</v>
      </c>
      <c r="AQ24" s="127" t="s">
        <v>242</v>
      </c>
      <c r="AR24" s="167">
        <f t="shared" si="35"/>
        <v>6.4832089552238781E-3</v>
      </c>
      <c r="AS24" s="174">
        <f t="shared" si="25"/>
        <v>3.5424204853116064E-4</v>
      </c>
      <c r="AT24" s="175">
        <f t="shared" si="25"/>
        <v>7.6972749580266064E-2</v>
      </c>
      <c r="AU24" s="175">
        <f t="shared" si="25"/>
        <v>1.4148234272346504E-3</v>
      </c>
      <c r="AV24" s="176">
        <f t="shared" si="25"/>
        <v>0.30696474634565779</v>
      </c>
    </row>
    <row r="25" spans="2:48" ht="15.75" thickBot="1" x14ac:dyDescent="0.3">
      <c r="B25" s="42" t="s">
        <v>16</v>
      </c>
      <c r="C25" s="38">
        <v>3.6057380189532773</v>
      </c>
      <c r="D25" s="30">
        <v>3.7141559970728371</v>
      </c>
      <c r="E25" s="30">
        <v>3.7293813463193666</v>
      </c>
      <c r="F25" s="30">
        <v>2.3747196064240552</v>
      </c>
      <c r="G25" s="30" cm="1">
        <f t="array" aca="1" ref="G25" ca="1">INDIRECT("TabSpHt"&amp;G$43&amp;"!N69")</f>
        <v>1.9664999999999999</v>
      </c>
      <c r="H25" s="30" cm="1">
        <f t="array" aca="1" ref="H25" ca="1">INDIRECT("TabSpHt"&amp;H$43&amp;"!N69")</f>
        <v>1.9702999999999999</v>
      </c>
      <c r="I25" s="30" cm="1">
        <f t="array" aca="1" ref="I25" ca="1">INDIRECT("TabSpHt"&amp;I$43&amp;"!N69")</f>
        <v>1.9755</v>
      </c>
      <c r="J25" s="30" cm="1">
        <f t="array" aca="1" ref="J25" ca="1">INDIRECT("TabSpHt"&amp;J$43&amp;"!N69")</f>
        <v>1.9803999999999999</v>
      </c>
      <c r="K25" s="30" cm="1">
        <f t="array" aca="1" ref="K25" ca="1">INDIRECT("TabSpHt"&amp;K$43&amp;"!N69")</f>
        <v>1.9857</v>
      </c>
      <c r="L25" s="31" cm="1">
        <f t="array" aca="1" ref="L25" ca="1">INDIRECT("TabSpHt"&amp;L$43&amp;"!N69")</f>
        <v>1.9902</v>
      </c>
      <c r="M25" s="49">
        <v>3.9767728100251256</v>
      </c>
      <c r="N25" s="30">
        <v>4.1094801337356985</v>
      </c>
      <c r="O25" s="30">
        <v>4.1719041807461679</v>
      </c>
      <c r="P25" s="30">
        <v>2.2781940123463409</v>
      </c>
      <c r="Q25" s="30">
        <v>2.2692728502185142</v>
      </c>
      <c r="R25" s="30">
        <v>2.2697842745983352</v>
      </c>
      <c r="S25" s="30">
        <v>2.2855415163930388</v>
      </c>
      <c r="T25" s="30">
        <v>2.1978715114981182</v>
      </c>
      <c r="U25" s="30">
        <v>2.1094220318171115</v>
      </c>
      <c r="V25" s="31">
        <v>1.9797911548991758</v>
      </c>
      <c r="X25" s="43" t="s">
        <v>10</v>
      </c>
      <c r="Y25" s="50">
        <f ca="1">SUM(Y19:Y24)</f>
        <v>19.530905647417775</v>
      </c>
      <c r="Z25" s="44">
        <f t="shared" ref="Z25:AH25" ca="1" si="36">SUM(Z19:Z24)</f>
        <v>20.28778615361977</v>
      </c>
      <c r="AA25" s="44">
        <f t="shared" ca="1" si="36"/>
        <v>20.433668133401596</v>
      </c>
      <c r="AB25" s="44">
        <f t="shared" ca="1" si="36"/>
        <v>19.06230291405295</v>
      </c>
      <c r="AC25" s="44">
        <f t="shared" ca="1" si="36"/>
        <v>18.814453431067761</v>
      </c>
      <c r="AD25" s="44">
        <f t="shared" ca="1" si="36"/>
        <v>18.952114957560468</v>
      </c>
      <c r="AE25" s="44">
        <f t="shared" ca="1" si="36"/>
        <v>19.053723128060788</v>
      </c>
      <c r="AF25" s="44">
        <f t="shared" ca="1" si="36"/>
        <v>19.155591012024793</v>
      </c>
      <c r="AG25" s="44">
        <f t="shared" ca="1" si="36"/>
        <v>19.257011487259788</v>
      </c>
      <c r="AH25" s="45">
        <f t="shared" ca="1" si="36"/>
        <v>19.358147533635119</v>
      </c>
      <c r="AJ25" s="128" t="s">
        <v>10</v>
      </c>
      <c r="AK25" s="164">
        <f>SUM(AK19:AK24)</f>
        <v>2.1440000000000006</v>
      </c>
      <c r="AL25" s="92">
        <f>SUM(AL19:AL24)</f>
        <v>3.9520999999999997</v>
      </c>
      <c r="AM25" s="44">
        <f>SUM(AM19:AM24)</f>
        <v>2.3228999999999997</v>
      </c>
      <c r="AN25" s="44">
        <f>SUM(AN19:AN24)</f>
        <v>7.1387000000000009</v>
      </c>
      <c r="AO25" s="45">
        <f t="shared" ref="AO25" si="37">SUM(AO19:AO24)</f>
        <v>0.11630000000000001</v>
      </c>
      <c r="AQ25" s="128" t="s">
        <v>10</v>
      </c>
      <c r="AR25" s="156">
        <f>SUM(AR19:AR24)</f>
        <v>0.99999999999999989</v>
      </c>
      <c r="AS25" s="152">
        <f t="shared" ref="AS25" si="38">SUM(AS19:AS24)</f>
        <v>1</v>
      </c>
      <c r="AT25" s="136">
        <f t="shared" ref="AT25" si="39">SUM(AT19:AT24)</f>
        <v>1</v>
      </c>
      <c r="AU25" s="136">
        <f t="shared" ref="AU25" si="40">SUM(AU19:AU24)</f>
        <v>0.99999999999999989</v>
      </c>
      <c r="AV25" s="140">
        <f t="shared" ref="AV25" si="41">SUM(AV19:AV24)</f>
        <v>0.99999999999999978</v>
      </c>
    </row>
    <row r="26" spans="2:48" ht="15.75" thickBot="1" x14ac:dyDescent="0.3">
      <c r="B26" s="42" t="s">
        <v>17</v>
      </c>
      <c r="C26" s="38" cm="1">
        <f t="array" aca="1" ref="C26" ca="1">INDIRECT("'"&amp;C$23&amp;"NRARSummary'!D5")</f>
        <v>2.8463398234057986E-2</v>
      </c>
      <c r="D26" s="38" cm="1">
        <f t="array" aca="1" ref="D26" ca="1">INDIRECT("'"&amp;D$23&amp;"NRARSummary'!D5")</f>
        <v>2.8840477237471199E-2</v>
      </c>
      <c r="E26" s="38" cm="1">
        <f t="array" aca="1" ref="E26" ca="1">INDIRECT("'"&amp;E$23&amp;"NRARSummary'!D5")</f>
        <v>2.9319451440325311E-2</v>
      </c>
      <c r="F26" s="38" cm="1">
        <f t="array" aca="1" ref="F26" ca="1">INDIRECT("'"&amp;F$23&amp;"NRARSummary'!D5")</f>
        <v>2.9750464887862375E-2</v>
      </c>
      <c r="G26" s="38" cm="1">
        <f t="array" aca="1" ref="G26" ca="1">INDIRECT("'"&amp;G$23&amp;"NRARSummary'!D5")</f>
        <v>3.0169036677851802E-2</v>
      </c>
      <c r="H26" s="30" cm="1">
        <f t="array" aca="1" ref="H26" ca="1">INDIRECT("'"&amp;H$23&amp;"NRARSummary'!D5")</f>
        <v>3.0576321623271403E-2</v>
      </c>
      <c r="I26" s="38" cm="1">
        <f t="array" aca="1" ref="I26" ca="1">INDIRECT("'"&amp;I$23&amp;"NRARSummary'!D5")</f>
        <v>3.0943796973291523E-2</v>
      </c>
      <c r="J26" s="30" cm="1">
        <f t="array" aca="1" ref="J26" ca="1">INDIRECT("'"&amp;J$23&amp;"NRARSummary'!D5")</f>
        <v>3.1311272323311642E-2</v>
      </c>
      <c r="K26" s="30" cm="1">
        <f t="array" aca="1" ref="K26" ca="1">INDIRECT("'"&amp;K$23&amp;"NRARSummary'!D5")</f>
        <v>3.1678747673331759E-2</v>
      </c>
      <c r="L26" s="31" cm="1">
        <f t="array" aca="1" ref="L26" ca="1">INDIRECT("'"&amp;L$23&amp;"NRARSummary'!D5")</f>
        <v>3.2046223023351889E-2</v>
      </c>
      <c r="M26" s="49">
        <v>2.8463398234057986E-2</v>
      </c>
      <c r="N26" s="38">
        <v>2.8845750286654218E-2</v>
      </c>
      <c r="O26" s="38">
        <v>2.9298324281296476E-2</v>
      </c>
      <c r="P26" s="38">
        <v>2.9734468329108525E-2</v>
      </c>
      <c r="Q26" s="38">
        <v>3.0123240135652627E-2</v>
      </c>
      <c r="R26" s="30">
        <v>3.0486926474710185E-2</v>
      </c>
      <c r="S26" s="38">
        <v>3.085061281376774E-2</v>
      </c>
      <c r="T26" s="30">
        <v>3.1196602421940344E-2</v>
      </c>
      <c r="U26" s="30">
        <v>3.1542592030112948E-2</v>
      </c>
      <c r="V26" s="31">
        <v>3.1888581638285549E-2</v>
      </c>
      <c r="X26" s="51" t="s">
        <v>93</v>
      </c>
      <c r="Y26" s="55"/>
      <c r="Z26" s="56">
        <f t="shared" ref="Z26" ca="1" si="42">-(Z25-Y25)</f>
        <v>-0.75688050620199476</v>
      </c>
      <c r="AA26" s="56">
        <f t="shared" ref="AA26" ca="1" si="43">-(AA25-Z25)</f>
        <v>-0.14588197978182649</v>
      </c>
      <c r="AB26" s="56">
        <f t="shared" ref="AB26" ca="1" si="44">-(AB25-AA25)</f>
        <v>1.3713652193486467</v>
      </c>
      <c r="AC26" s="56">
        <f t="shared" ref="AC26" ca="1" si="45">-(AC25-AB25)</f>
        <v>0.24784948298518827</v>
      </c>
      <c r="AD26" s="56">
        <f t="shared" ref="AD26" ca="1" si="46">-(AD25-AC25)</f>
        <v>-0.1376615264927068</v>
      </c>
      <c r="AE26" s="56">
        <f t="shared" ref="AE26" ca="1" si="47">-(AE25-AD25)</f>
        <v>-0.10160817050032023</v>
      </c>
      <c r="AF26" s="56">
        <f t="shared" ref="AF26" ca="1" si="48">-(AF25-AE25)</f>
        <v>-0.10186788396400459</v>
      </c>
      <c r="AG26" s="56">
        <f t="shared" ref="AG26" ca="1" si="49">-(AG25-AF25)</f>
        <v>-0.10142047523499542</v>
      </c>
      <c r="AH26" s="57">
        <f t="shared" ref="AH26" ca="1" si="50">-(AH25-AG25)</f>
        <v>-0.10113604637533058</v>
      </c>
    </row>
    <row r="27" spans="2:48" ht="15.75" thickBot="1" x14ac:dyDescent="0.3">
      <c r="B27" s="42" t="s">
        <v>19</v>
      </c>
      <c r="C27" s="38">
        <f ca="1">OFFSET(OnRoad!$G$6,MATCH(C23,OnRoad!$A$7:$A$16,0),0)</f>
        <v>2.7453689936435769E-3</v>
      </c>
      <c r="D27" s="38">
        <f ca="1">OFFSET(OnRoad!$G$6,MATCH(D23,OnRoad!$A$7:$A$16,0),0)</f>
        <v>2.6754378538783549E-3</v>
      </c>
      <c r="E27" s="38">
        <f ca="1">OFFSET(OnRoad!$G$6,MATCH(E23,OnRoad!$A$7:$A$16,0),0)</f>
        <v>2.744684522169341E-3</v>
      </c>
      <c r="F27" s="38">
        <f ca="1">OFFSET(OnRoad!$G$6,MATCH(F23,OnRoad!$A$7:$A$16,0),0)</f>
        <v>2.6897315522799972E-3</v>
      </c>
      <c r="G27" s="38">
        <f ca="1">OFFSET(OnRoad!$G$6,MATCH(G23,OnRoad!$A$7:$A$16,0),0)</f>
        <v>2.6372746674138488E-3</v>
      </c>
      <c r="H27" s="38">
        <f ca="1">OFFSET(OnRoad!$G$6,MATCH(H23,OnRoad!$A$7:$A$16,0),0)</f>
        <v>2.5889091708837346E-3</v>
      </c>
      <c r="I27" s="38">
        <f ca="1">OFFSET(OnRoad!$G$6,MATCH(I23,OnRoad!$A$7:$A$16,0),0)</f>
        <v>2.5410560249381499E-3</v>
      </c>
      <c r="J27" s="38">
        <f ca="1">OFFSET(OnRoad!$G$6,MATCH(J23,OnRoad!$A$7:$A$16,0),0)</f>
        <v>2.5017007089312964E-3</v>
      </c>
      <c r="K27" s="38">
        <f ca="1">OFFSET(OnRoad!$G$6,MATCH(K23,OnRoad!$A$7:$A$16,0),0)</f>
        <v>2.4630953742018E-3</v>
      </c>
      <c r="L27" s="31">
        <f ca="1">OFFSET(OnRoad!$G$6,MATCH(L23,OnRoad!$A$7:$A$16,0),0)</f>
        <v>2.4621714910392609E-3</v>
      </c>
      <c r="M27" s="49">
        <v>6.880424023629146E-3</v>
      </c>
      <c r="N27" s="38">
        <v>6.8826212376879763E-3</v>
      </c>
      <c r="O27" s="38">
        <v>6.8769364654461393E-3</v>
      </c>
      <c r="P27" s="38">
        <v>6.8634541707886625E-3</v>
      </c>
      <c r="Q27" s="38">
        <v>6.8440027384484908E-3</v>
      </c>
      <c r="R27" s="38">
        <v>7.0525778741141274E-3</v>
      </c>
      <c r="S27" s="38">
        <v>6.7162490917116796E-3</v>
      </c>
      <c r="T27" s="38">
        <v>6.6685156906709881E-3</v>
      </c>
      <c r="U27" s="38">
        <v>6.6276919578522626E-3</v>
      </c>
      <c r="V27" s="31">
        <v>6.5997177600011165E-3</v>
      </c>
      <c r="X27" s="51" t="s">
        <v>223</v>
      </c>
      <c r="Y27" s="74"/>
      <c r="Z27" s="75">
        <f t="shared" ref="Z27:AH27" ca="1" si="51">1-Z25/$Y25</f>
        <v>-3.8752965165343767E-2</v>
      </c>
      <c r="AA27" s="75">
        <f t="shared" ca="1" si="51"/>
        <v>-4.6222254220104508E-2</v>
      </c>
      <c r="AB27" s="75">
        <f t="shared" ca="1" si="51"/>
        <v>2.3992882963252637E-2</v>
      </c>
      <c r="AC27" s="75">
        <f t="shared" ca="1" si="51"/>
        <v>3.668300022967641E-2</v>
      </c>
      <c r="AD27" s="75">
        <f t="shared" ca="1" si="51"/>
        <v>2.9634605804049308E-2</v>
      </c>
      <c r="AE27" s="75">
        <f t="shared" ca="1" si="51"/>
        <v>2.4432175751157525E-2</v>
      </c>
      <c r="AF27" s="75">
        <f t="shared" ca="1" si="51"/>
        <v>1.9216448134477759E-2</v>
      </c>
      <c r="AG27" s="75">
        <f t="shared" ca="1" si="51"/>
        <v>1.4023628248606035E-2</v>
      </c>
      <c r="AH27" s="76">
        <f t="shared" ca="1" si="51"/>
        <v>8.8453713771075027E-3</v>
      </c>
    </row>
    <row r="28" spans="2:48" x14ac:dyDescent="0.25">
      <c r="B28" s="42" t="s">
        <v>173</v>
      </c>
      <c r="C28" s="102" cm="1">
        <f t="array" aca="1" ref="C28" ca="1">INDIRECT("'"&amp;C$23&amp;"NRARSummary'!D8")</f>
        <v>5.441017075551505</v>
      </c>
      <c r="D28" s="30" cm="1">
        <f t="array" aca="1" ref="D28" ca="1">INDIRECT("'"&amp;D$23&amp;"NRARSummary'!D8")</f>
        <v>5.4760462035408617</v>
      </c>
      <c r="E28" s="103" cm="1">
        <f t="array" aca="1" ref="E28" ca="1">INDIRECT("'"&amp;E$23&amp;"NRARSummary'!D8")</f>
        <v>5.511495681066096</v>
      </c>
      <c r="F28" s="103" cm="1">
        <f t="array" aca="1" ref="F28" ca="1">INDIRECT("'"&amp;F$23&amp;"NRARSummary'!D8")</f>
        <v>5.547370552321631</v>
      </c>
      <c r="G28" s="103" cm="1">
        <f t="array" aca="1" ref="G28" ca="1">INDIRECT("'"&amp;G$23&amp;"NRARSummary'!D8")</f>
        <v>5.547370552321631</v>
      </c>
      <c r="H28" s="103" cm="1">
        <f t="array" aca="1" ref="H28" ca="1">INDIRECT("'"&amp;H$23&amp;"NRARSummary'!D8")</f>
        <v>5.620416956179362</v>
      </c>
      <c r="I28" s="103" cm="1">
        <f t="array" aca="1" ref="I28" ca="1">INDIRECT("'"&amp;I$23&amp;"NRARSummary'!D8")</f>
        <v>5.6575988827362522</v>
      </c>
      <c r="J28" s="103" cm="1">
        <f t="array" aca="1" ref="J28" ca="1">INDIRECT("'"&amp;J$23&amp;"NRARSummary'!D8")</f>
        <v>5.6952269924118308</v>
      </c>
      <c r="K28" s="103" cm="1">
        <f t="array" aca="1" ref="K28" ca="1">INDIRECT("'"&amp;K$23&amp;"NRARSummary'!D8")</f>
        <v>5.733306639403513</v>
      </c>
      <c r="L28" s="104" cm="1">
        <f t="array" aca="1" ref="L28" ca="1">INDIRECT("'"&amp;L$23&amp;"NRARSummary'!D8")</f>
        <v>5.7718432421590986</v>
      </c>
      <c r="M28" s="105"/>
      <c r="N28" s="103"/>
      <c r="O28" s="103"/>
      <c r="P28" s="103"/>
      <c r="Q28" s="103"/>
      <c r="R28" s="103"/>
      <c r="S28" s="103"/>
      <c r="T28" s="103"/>
      <c r="U28" s="103"/>
      <c r="V28" s="104"/>
    </row>
    <row r="29" spans="2:48" ht="15.75" thickBot="1" x14ac:dyDescent="0.3">
      <c r="B29" s="46" t="s">
        <v>18</v>
      </c>
      <c r="C29" s="69" cm="1">
        <f t="array" aca="1" ref="C29" ca="1">INDIRECT("'"&amp;C$23&amp;"NRARSummary'!D9")-INDIRECT("'"&amp;C$23&amp;"NRARSummary'!D8")</f>
        <v>2.2725169530355416E-3</v>
      </c>
      <c r="D29" s="47" cm="1">
        <f t="array" aca="1" ref="D29" ca="1">INDIRECT("'"&amp;D$23&amp;"NRARSummary'!D9")-INDIRECT("'"&amp;D$23&amp;"NRARSummary'!D8")</f>
        <v>2.2725169530355416E-3</v>
      </c>
      <c r="E29" s="47" cm="1">
        <f t="array" aca="1" ref="E29" ca="1">INDIRECT("'"&amp;E$23&amp;"NRARSummary'!D9")-INDIRECT("'"&amp;E$23&amp;"NRARSummary'!D8")</f>
        <v>2.2725169530355416E-3</v>
      </c>
      <c r="F29" s="47" cm="1">
        <f t="array" aca="1" ref="F29" ca="1">INDIRECT("'"&amp;F$23&amp;"NRARSummary'!D9")-INDIRECT("'"&amp;F$23&amp;"NRARSummary'!D8")</f>
        <v>2.2725169530355416E-3</v>
      </c>
      <c r="G29" s="47" cm="1">
        <f t="array" aca="1" ref="G29" ca="1">INDIRECT("'"&amp;G$23&amp;"NRARSummary'!D9")-INDIRECT("'"&amp;G$23&amp;"NRARSummary'!D8")</f>
        <v>2.2725169530355416E-3</v>
      </c>
      <c r="H29" s="47" cm="1">
        <f t="array" aca="1" ref="H29" ca="1">INDIRECT("'"&amp;H$23&amp;"NRARSummary'!D9")-INDIRECT("'"&amp;H$23&amp;"NRARSummary'!D8")</f>
        <v>2.2725169530355416E-3</v>
      </c>
      <c r="I29" s="47" cm="1">
        <f t="array" aca="1" ref="I29" ca="1">INDIRECT("'"&amp;I$23&amp;"NRARSummary'!D9")-INDIRECT("'"&amp;I$23&amp;"NRARSummary'!D8")</f>
        <v>2.2725169530355416E-3</v>
      </c>
      <c r="J29" s="47" cm="1">
        <f t="array" aca="1" ref="J29" ca="1">INDIRECT("'"&amp;J$23&amp;"NRARSummary'!D9")-INDIRECT("'"&amp;J$23&amp;"NRARSummary'!D8")</f>
        <v>2.2725169530355416E-3</v>
      </c>
      <c r="K29" s="47" cm="1">
        <f t="array" aca="1" ref="K29" ca="1">INDIRECT("'"&amp;K$23&amp;"NRARSummary'!D9")-INDIRECT("'"&amp;K$23&amp;"NRARSummary'!D8")</f>
        <v>2.2725169530355416E-3</v>
      </c>
      <c r="L29" s="58" cm="1">
        <f t="array" aca="1" ref="L29" ca="1">INDIRECT("'"&amp;L$23&amp;"NRARSummary'!D9")-INDIRECT("'"&amp;L$23&amp;"NRARSummary'!D8")</f>
        <v>2.2725169530355416E-3</v>
      </c>
      <c r="M29" s="69">
        <v>5.4432895925045406</v>
      </c>
      <c r="N29" s="47">
        <v>5.4783191222722634</v>
      </c>
      <c r="O29" s="47">
        <v>5.5137666145396897</v>
      </c>
      <c r="P29" s="47">
        <v>5.5496418877032472</v>
      </c>
      <c r="Q29" s="47">
        <v>5.5859451031974858</v>
      </c>
      <c r="R29" s="47">
        <v>5.6229049426803748</v>
      </c>
      <c r="S29" s="47">
        <v>5.6598647821632628</v>
      </c>
      <c r="T29" s="47">
        <v>5.697944837855486</v>
      </c>
      <c r="U29" s="47">
        <v>5.7360248935477083</v>
      </c>
      <c r="V29" s="58">
        <v>5.7741049492399315</v>
      </c>
    </row>
    <row r="30" spans="2:48" ht="15.75" thickBot="1" x14ac:dyDescent="0.3">
      <c r="B30" s="43" t="s">
        <v>10</v>
      </c>
      <c r="C30" s="50">
        <f ca="1">SUM(C24:C29)</f>
        <v>15.707125886533547</v>
      </c>
      <c r="D30" s="44">
        <f t="shared" ref="D30" ca="1" si="52">SUM(D24:D29)</f>
        <v>16.044448455931999</v>
      </c>
      <c r="E30" s="44">
        <f t="shared" ref="E30" ca="1" si="53">SUM(E24:E29)</f>
        <v>16.180663539901424</v>
      </c>
      <c r="F30" s="44">
        <f t="shared" ref="F30" ca="1" si="54">SUM(F24:F29)</f>
        <v>14.908926625438301</v>
      </c>
      <c r="G30" s="44">
        <f t="shared" ref="G30" ca="1" si="55">SUM(G24:G29)</f>
        <v>14.549408354694783</v>
      </c>
      <c r="H30" s="44">
        <f t="shared" ref="H30" ca="1" si="56">SUM(H24:H29)</f>
        <v>14.676111827730349</v>
      </c>
      <c r="I30" s="44">
        <f t="shared" ref="I30" ca="1" si="57">SUM(I24:I29)</f>
        <v>14.766359547860596</v>
      </c>
      <c r="J30" s="44">
        <f t="shared" ref="J30" ca="1" si="58">SUM(J24:J29)</f>
        <v>14.856761948939468</v>
      </c>
      <c r="K30" s="44">
        <f t="shared" ref="K30" ca="1" si="59">SUM(K24:K29)</f>
        <v>14.948016637315725</v>
      </c>
      <c r="L30" s="45">
        <f t="shared" ref="L30" ca="1" si="60">SUM(L24:L29)</f>
        <v>15.038965962907451</v>
      </c>
      <c r="M30" s="50">
        <v>16.000342048131326</v>
      </c>
      <c r="N30" s="44">
        <v>14.560315261682966</v>
      </c>
      <c r="O30" s="44">
        <v>14.720152673924524</v>
      </c>
      <c r="P30" s="44">
        <v>12.782064552443877</v>
      </c>
      <c r="Q30" s="44">
        <v>10.823510950263479</v>
      </c>
      <c r="R30" s="44">
        <v>10.882281002477484</v>
      </c>
      <c r="S30" s="44">
        <v>10.954934609718222</v>
      </c>
      <c r="T30" s="44">
        <v>10.925552085129155</v>
      </c>
      <c r="U30" s="44">
        <v>10.895396995422217</v>
      </c>
      <c r="V30" s="45">
        <v>10.824073358013322</v>
      </c>
      <c r="X30" s="39"/>
      <c r="Y30" s="271" t="s">
        <v>226</v>
      </c>
      <c r="Z30" s="272"/>
      <c r="AA30" s="272"/>
      <c r="AB30" s="272"/>
      <c r="AC30" s="272"/>
      <c r="AD30" s="272"/>
      <c r="AE30" s="272"/>
      <c r="AF30" s="272"/>
      <c r="AG30" s="272"/>
      <c r="AH30" s="273"/>
    </row>
    <row r="31" spans="2:48" ht="15.75" thickBot="1" x14ac:dyDescent="0.3">
      <c r="B31" s="51" t="s">
        <v>93</v>
      </c>
      <c r="C31" s="55"/>
      <c r="D31" s="56">
        <f t="shared" ref="D31:L31" ca="1" si="61">-(D30-C30)</f>
        <v>-0.33732256939845229</v>
      </c>
      <c r="E31" s="56">
        <f t="shared" ca="1" si="61"/>
        <v>-0.13621508396942517</v>
      </c>
      <c r="F31" s="56">
        <f t="shared" ca="1" si="61"/>
        <v>1.2717369144631228</v>
      </c>
      <c r="G31" s="56">
        <f t="shared" ca="1" si="61"/>
        <v>0.35951827074351783</v>
      </c>
      <c r="H31" s="56">
        <f t="shared" ca="1" si="61"/>
        <v>-0.12670347303556539</v>
      </c>
      <c r="I31" s="56">
        <f t="shared" ca="1" si="61"/>
        <v>-9.0247720130246734E-2</v>
      </c>
      <c r="J31" s="56">
        <f t="shared" ca="1" si="61"/>
        <v>-9.040240107887243E-2</v>
      </c>
      <c r="K31" s="56">
        <f t="shared" ca="1" si="61"/>
        <v>-9.125468837625661E-2</v>
      </c>
      <c r="L31" s="57">
        <f t="shared" ca="1" si="61"/>
        <v>-9.0949325591726193E-2</v>
      </c>
      <c r="M31" s="55"/>
      <c r="N31" s="56">
        <v>1.4400267864483602</v>
      </c>
      <c r="O31" s="56">
        <v>-0.15983741224155779</v>
      </c>
      <c r="P31" s="56">
        <v>1.9380881214806465</v>
      </c>
      <c r="Q31" s="56">
        <v>1.9585536021803982</v>
      </c>
      <c r="R31" s="56">
        <v>-5.8770052214004664E-2</v>
      </c>
      <c r="S31" s="56">
        <v>-7.2653607240738438E-2</v>
      </c>
      <c r="T31" s="56">
        <v>2.9382524589067316E-2</v>
      </c>
      <c r="U31" s="56">
        <v>3.0155089706937588E-2</v>
      </c>
      <c r="V31" s="57">
        <v>7.1323637408895024E-2</v>
      </c>
      <c r="X31" s="40" t="s">
        <v>1</v>
      </c>
      <c r="Y31" s="48">
        <v>2020</v>
      </c>
      <c r="Z31" s="34">
        <v>2021</v>
      </c>
      <c r="AA31" s="34">
        <v>2022</v>
      </c>
      <c r="AB31" s="34">
        <v>2023</v>
      </c>
      <c r="AC31" s="34">
        <v>2024</v>
      </c>
      <c r="AD31" s="34">
        <v>2025</v>
      </c>
      <c r="AE31" s="34">
        <v>2026</v>
      </c>
      <c r="AF31" s="34">
        <v>2027</v>
      </c>
      <c r="AG31" s="34">
        <v>2028</v>
      </c>
      <c r="AH31" s="35">
        <v>2029</v>
      </c>
    </row>
    <row r="32" spans="2:48" ht="15.75" thickBot="1" x14ac:dyDescent="0.3">
      <c r="B32" s="51" t="s">
        <v>223</v>
      </c>
      <c r="C32" s="74"/>
      <c r="D32" s="75">
        <f t="shared" ref="D32:L32" ca="1" si="62">1-D30/$C30</f>
        <v>-2.1475766593788803E-2</v>
      </c>
      <c r="E32" s="75">
        <f t="shared" ca="1" si="62"/>
        <v>-3.014795047729657E-2</v>
      </c>
      <c r="F32" s="75">
        <f t="shared" ca="1" si="62"/>
        <v>5.0817652246588185E-2</v>
      </c>
      <c r="G32" s="75">
        <f t="shared" ca="1" si="62"/>
        <v>7.3706516405482425E-2</v>
      </c>
      <c r="H32" s="75">
        <f t="shared" ca="1" si="62"/>
        <v>6.5639892762757723E-2</v>
      </c>
      <c r="I32" s="75">
        <f t="shared" ca="1" si="62"/>
        <v>5.9894238161006474E-2</v>
      </c>
      <c r="J32" s="75">
        <f t="shared" ca="1" si="62"/>
        <v>5.4138735739243993E-2</v>
      </c>
      <c r="K32" s="75">
        <f t="shared" ca="1" si="62"/>
        <v>4.8328972130327275E-2</v>
      </c>
      <c r="L32" s="76">
        <f t="shared" ca="1" si="62"/>
        <v>4.253864955643738E-2</v>
      </c>
      <c r="M32" s="74"/>
      <c r="N32" s="75">
        <v>8.9999750137625401E-2</v>
      </c>
      <c r="O32" s="75">
        <v>8.0010125430806989E-2</v>
      </c>
      <c r="P32" s="75">
        <v>0.20113804354971965</v>
      </c>
      <c r="Q32" s="75">
        <v>0.3235450268685004</v>
      </c>
      <c r="R32" s="75">
        <v>0.31987197712761262</v>
      </c>
      <c r="S32" s="75">
        <v>0.31533122374732947</v>
      </c>
      <c r="T32" s="75">
        <v>0.3171675922762448</v>
      </c>
      <c r="U32" s="75">
        <v>0.31905224509280494</v>
      </c>
      <c r="V32" s="76">
        <v>0.32350987713556656</v>
      </c>
      <c r="X32" s="41" t="s">
        <v>7</v>
      </c>
      <c r="Y32" s="37">
        <f ca="1">OFFSET(PointsNoBACT!$A$5,MATCH(Y$5,PointsNoBACT!$A$6:$A$15,0),MATCH("NOx",PointsNoBACT!$B$5:$H$5,0))</f>
        <v>13.537956387411262</v>
      </c>
      <c r="Z32" s="32">
        <f ca="1">OFFSET(PointsNoBACT!$A$5,MATCH(Z$5,PointsNoBACT!$A$6:$A$15,0),MATCH("NOx",PointsNoBACT!$B$5:$H$5,0))</f>
        <v>13.93339370519312</v>
      </c>
      <c r="AA32" s="32">
        <f ca="1">OFFSET(PointsNoBACT!$A$5,MATCH(AA$5,PointsNoBACT!$A$6:$A$15,0),MATCH("NOx",PointsNoBACT!$B$5:$H$5,0))</f>
        <v>14.107022446053078</v>
      </c>
      <c r="AB32" s="32">
        <f ca="1">OFFSET(PointsNoBACT!$A$5,MATCH(AB$5,PointsNoBACT!$A$6:$A$15,0),MATCH("NOx",PointsNoBACT!$B$5:$H$5,0))</f>
        <v>14.202371725165031</v>
      </c>
      <c r="AC32" s="32">
        <f ca="1">OFFSET(PointsNoBACT!$A$5,MATCH(AC$5,PointsNoBACT!$A$6:$A$15,0),MATCH("NOx",PointsNoBACT!$B$5:$H$5,0))</f>
        <v>14.30111490023358</v>
      </c>
      <c r="AD32" s="32">
        <f ca="1">OFFSET(PointsNoBACT!$A$5,MATCH(AD$5,PointsNoBACT!$A$6:$A$15,0),MATCH("NOx",PointsNoBACT!$B$5:$H$5,0))</f>
        <v>14.402233802471866</v>
      </c>
      <c r="AE32" s="32">
        <f ca="1">OFFSET(PointsNoBACT!$A$5,MATCH(AE$5,PointsNoBACT!$A$6:$A$15,0),MATCH("NOx",PointsNoBACT!$B$5:$H$5,0))</f>
        <v>14.499365042342939</v>
      </c>
      <c r="AF32" s="32">
        <f ca="1">OFFSET(PointsNoBACT!$A$5,MATCH(AF$5,PointsNoBACT!$A$6:$A$15,0),MATCH("NOx",PointsNoBACT!$B$5:$H$5,0))</f>
        <v>14.596496282213964</v>
      </c>
      <c r="AG32" s="32">
        <f ca="1">OFFSET(PointsNoBACT!$A$5,MATCH(AG$5,PointsNoBACT!$A$6:$A$15,0),MATCH("NOx",PointsNoBACT!$B$5:$H$5,0))</f>
        <v>14.693627522085009</v>
      </c>
      <c r="AH32" s="33">
        <f ca="1">OFFSET(PointsNoBACT!$A$5,MATCH(AH$5,PointsNoBACT!$A$6:$A$15,0),MATCH("NOx",PointsNoBACT!$B$5:$H$5,0))</f>
        <v>14.790758761956045</v>
      </c>
    </row>
    <row r="33" spans="2:34" x14ac:dyDescent="0.25">
      <c r="C33" s="2"/>
      <c r="D33" s="2"/>
      <c r="E33" s="2"/>
      <c r="F33" s="2"/>
      <c r="G33" s="2"/>
      <c r="H33" s="2"/>
      <c r="I33" s="2"/>
      <c r="J33" s="2"/>
      <c r="K33" s="2"/>
      <c r="L33" s="2"/>
      <c r="X33" s="42" t="s">
        <v>16</v>
      </c>
      <c r="Y33" s="38" cm="1">
        <f t="array" aca="1" ref="Y33" ca="1">INDIRECT("TabSpHt"&amp;Y$31&amp;"!R69")</f>
        <v>2.3227000000000002</v>
      </c>
      <c r="Z33" s="30" cm="1">
        <f t="array" aca="1" ref="Z33" ca="1">INDIRECT("TabSpHt"&amp;Z$31&amp;"!R69")</f>
        <v>2.3820999999999999</v>
      </c>
      <c r="AA33" s="30" cm="1">
        <f t="array" aca="1" ref="AA33" ca="1">INDIRECT("TabSpHt"&amp;AA$31&amp;"!R69")</f>
        <v>2.415</v>
      </c>
      <c r="AB33" s="30" cm="1">
        <f t="array" aca="1" ref="AB33" ca="1">INDIRECT("TabSpHt"&amp;AB$31&amp;"!R69")</f>
        <v>2.4384000000000001</v>
      </c>
      <c r="AC33" s="30" cm="1">
        <f t="array" aca="1" ref="AC33" ca="1">INDIRECT("TabSpHt"&amp;AC$31&amp;"!R69")</f>
        <v>2.4571000000000001</v>
      </c>
      <c r="AD33" s="30" cm="1">
        <f t="array" aca="1" ref="AD33" ca="1">INDIRECT("TabSpHt"&amp;AD$31&amp;"!R69")</f>
        <v>2.4748000000000001</v>
      </c>
      <c r="AE33" s="30" cm="1">
        <f t="array" aca="1" ref="AE33" ca="1">INDIRECT("TabSpHt"&amp;AE$31&amp;"!R69")</f>
        <v>2.4899</v>
      </c>
      <c r="AF33" s="30" cm="1">
        <f t="array" aca="1" ref="AF33" ca="1">INDIRECT("TabSpHt"&amp;AF$31&amp;"!R69")</f>
        <v>2.5047999999999999</v>
      </c>
      <c r="AG33" s="30" cm="1">
        <f t="array" aca="1" ref="AG33" ca="1">INDIRECT("TabSpHt"&amp;AG$31&amp;"!R69")</f>
        <v>2.5207000000000002</v>
      </c>
      <c r="AH33" s="31" cm="1">
        <f t="array" aca="1" ref="AH33" ca="1">INDIRECT("TabSpHt"&amp;AH$31&amp;"!R69")</f>
        <v>2.5366</v>
      </c>
    </row>
    <row r="34" spans="2:34" x14ac:dyDescent="0.25">
      <c r="B34" s="70" t="s">
        <v>94</v>
      </c>
      <c r="C34" s="119">
        <f ca="1">5%*C30</f>
        <v>0.78535629432667742</v>
      </c>
      <c r="X34" s="42" t="s">
        <v>17</v>
      </c>
      <c r="Y34" s="38" cm="1">
        <f t="array" aca="1" ref="Y34" ca="1">INDIRECT("'"&amp;Y$31&amp;"NRARSummary'!H5")</f>
        <v>1.2365001822449586</v>
      </c>
      <c r="Z34" s="38" cm="1">
        <f t="array" aca="1" ref="Z34" ca="1">INDIRECT("'"&amp;Z$31&amp;"NRARSummary'!H5")</f>
        <v>1.2528811587048698</v>
      </c>
      <c r="AA34" s="38" cm="1">
        <f t="array" aca="1" ref="AA34" ca="1">INDIRECT("'"&amp;AA$31&amp;"NRARSummary'!H5")</f>
        <v>1.2736886422052445</v>
      </c>
      <c r="AB34" s="38" cm="1">
        <f t="array" aca="1" ref="AB34" ca="1">INDIRECT("'"&amp;AB$31&amp;"NRARSummary'!H5")</f>
        <v>1.2924126259701867</v>
      </c>
      <c r="AC34" s="38" cm="1">
        <f t="array" aca="1" ref="AC34" ca="1">INDIRECT("'"&amp;AC$31&amp;"NRARSummary'!H5")</f>
        <v>1.3105961222044924</v>
      </c>
      <c r="AD34" s="30" cm="1">
        <f t="array" aca="1" ref="AD34" ca="1">INDIRECT("'"&amp;AD$31&amp;"NRARSummary'!H5")</f>
        <v>1.3282892980191208</v>
      </c>
      <c r="AE34" s="38" cm="1">
        <f t="array" aca="1" ref="AE34" ca="1">INDIRECT("'"&amp;AE$31&amp;"NRARSummary'!H5")</f>
        <v>1.3442530748504726</v>
      </c>
      <c r="AF34" s="30" cm="1">
        <f t="array" aca="1" ref="AF34" ca="1">INDIRECT("'"&amp;AF$31&amp;"NRARSummary'!H5")</f>
        <v>1.3602168516818252</v>
      </c>
      <c r="AG34" s="30" cm="1">
        <f t="array" aca="1" ref="AG34" ca="1">INDIRECT("'"&amp;AG$31&amp;"NRARSummary'!H5")</f>
        <v>1.3761806285131775</v>
      </c>
      <c r="AH34" s="31" cm="1">
        <f t="array" aca="1" ref="AH34" ca="1">INDIRECT("'"&amp;AH$31&amp;"NRARSummary'!H5")</f>
        <v>1.39214440534453</v>
      </c>
    </row>
    <row r="35" spans="2:34" x14ac:dyDescent="0.25">
      <c r="B35" s="70" t="s">
        <v>100</v>
      </c>
      <c r="C35" s="71"/>
      <c r="D35" s="116">
        <f ca="1">$C34</f>
        <v>0.78535629432667742</v>
      </c>
      <c r="E35" s="116">
        <f t="shared" ref="E35" ca="1" si="63">D35+$C34</f>
        <v>1.5707125886533548</v>
      </c>
      <c r="F35" s="116">
        <f t="shared" ref="F35" ca="1" si="64">E35+$C34</f>
        <v>2.3560688829800323</v>
      </c>
      <c r="G35" s="116">
        <f t="shared" ref="G35" ca="1" si="65">F35+$C34</f>
        <v>3.1414251773067097</v>
      </c>
      <c r="H35" s="116">
        <f t="shared" ref="H35" ca="1" si="66">G35+$C34</f>
        <v>3.9267814716333871</v>
      </c>
      <c r="I35" s="116">
        <f t="shared" ref="I35" ca="1" si="67">H35+$C34</f>
        <v>4.7121377659600645</v>
      </c>
      <c r="J35" s="116">
        <f t="shared" ref="J35" ca="1" si="68">I35+$C34</f>
        <v>5.4974940602867424</v>
      </c>
      <c r="K35" s="116">
        <f t="shared" ref="K35" ca="1" si="69">J35+$C34</f>
        <v>6.2828503546134193</v>
      </c>
      <c r="L35" s="116">
        <f t="shared" ref="L35" ca="1" si="70">K35+$C34</f>
        <v>7.0682066489400963</v>
      </c>
      <c r="X35" s="42" t="s">
        <v>19</v>
      </c>
      <c r="Y35" s="38">
        <f ca="1">OFFSET(OnRoad!$R$6,MATCH(Y31,OnRoad!$A$7:$A$16,0),0)</f>
        <v>1.7714176537659712</v>
      </c>
      <c r="Z35" s="38">
        <f ca="1">OFFSET(OnRoad!$R$6,MATCH(Z31,OnRoad!$A$7:$A$16,0),0)</f>
        <v>1.5886436681512568</v>
      </c>
      <c r="AA35" s="38">
        <f ca="1">OFFSET(OnRoad!$R$6,MATCH(AA31,OnRoad!$A$7:$A$16,0),0)</f>
        <v>1.5077258111429055</v>
      </c>
      <c r="AB35" s="38">
        <f ca="1">OFFSET(OnRoad!$R$6,MATCH(AB31,OnRoad!$A$7:$A$16,0),0)</f>
        <v>1.3774111011418197</v>
      </c>
      <c r="AC35" s="38">
        <f ca="1">OFFSET(OnRoad!$R$6,MATCH(AC31,OnRoad!$A$7:$A$16,0),0)</f>
        <v>1.2199185936564256</v>
      </c>
      <c r="AD35" s="38">
        <f ca="1">OFFSET(OnRoad!$R$6,MATCH(AD31,OnRoad!$A$7:$A$16,0),0)</f>
        <v>1.1289169048632759</v>
      </c>
      <c r="AE35" s="38">
        <f ca="1">OFFSET(OnRoad!$R$6,MATCH(AE31,OnRoad!$A$7:$A$16,0),0)</f>
        <v>1.0042398159618726</v>
      </c>
      <c r="AF35" s="38">
        <f ca="1">OFFSET(OnRoad!$R$6,MATCH(AF31,OnRoad!$A$7:$A$16,0),0)</f>
        <v>0.94534644922338207</v>
      </c>
      <c r="AG35" s="38">
        <f ca="1">OFFSET(OnRoad!$R$6,MATCH(AG31,OnRoad!$A$7:$A$16,0),0)</f>
        <v>0.87196465238248588</v>
      </c>
      <c r="AH35" s="31">
        <f ca="1">OFFSET(OnRoad!$R$6,MATCH(AH31,OnRoad!$A$7:$A$16,0),0)</f>
        <v>0.81525240523980635</v>
      </c>
    </row>
    <row r="36" spans="2:34" x14ac:dyDescent="0.25">
      <c r="B36" s="70" t="s">
        <v>96</v>
      </c>
      <c r="C36" s="71"/>
      <c r="D36" s="117">
        <f ca="1">D31</f>
        <v>-0.33732256939845229</v>
      </c>
      <c r="E36" s="117">
        <f t="shared" ref="E36:L36" ca="1" si="71">D36+E31</f>
        <v>-0.47353765336787745</v>
      </c>
      <c r="F36" s="117">
        <f t="shared" ca="1" si="71"/>
        <v>0.7981992610952453</v>
      </c>
      <c r="G36" s="117">
        <f t="shared" ca="1" si="71"/>
        <v>1.1577175318387631</v>
      </c>
      <c r="H36" s="117">
        <f t="shared" ca="1" si="71"/>
        <v>1.0310140588031977</v>
      </c>
      <c r="I36" s="117">
        <f t="shared" ca="1" si="71"/>
        <v>0.94076633867295101</v>
      </c>
      <c r="J36" s="117">
        <f t="shared" ca="1" si="71"/>
        <v>0.85036393759407858</v>
      </c>
      <c r="K36" s="117">
        <f t="shared" ca="1" si="71"/>
        <v>0.75910924921782197</v>
      </c>
      <c r="L36" s="117">
        <f t="shared" ca="1" si="71"/>
        <v>0.66815992362609578</v>
      </c>
      <c r="X36" s="42" t="s">
        <v>173</v>
      </c>
      <c r="Y36" s="102" cm="1">
        <f t="array" aca="1" ref="Y36" ca="1">INDIRECT("'"&amp;Y$31&amp;"NRARSummary'!H8")</f>
        <v>0.65308055864038062</v>
      </c>
      <c r="Z36" s="30" cm="1">
        <f t="array" aca="1" ref="Z36" ca="1">INDIRECT("'"&amp;Z$31&amp;"NRARSummary'!H8")</f>
        <v>0.68926858674461067</v>
      </c>
      <c r="AA36" s="103" cm="1">
        <f t="array" aca="1" ref="AA36" ca="1">INDIRECT("'"&amp;AA$31&amp;"NRARSummary'!H8")</f>
        <v>0.69134246470954086</v>
      </c>
      <c r="AB36" s="103" cm="1">
        <f t="array" aca="1" ref="AB36" ca="1">INDIRECT("'"&amp;AB$31&amp;"NRARSummary'!H8")</f>
        <v>0.69344122921005003</v>
      </c>
      <c r="AC36" s="103" cm="1">
        <f t="array" aca="1" ref="AC36" ca="1">INDIRECT("'"&amp;AC$31&amp;"NRARSummary'!H8")</f>
        <v>0.69344122921005003</v>
      </c>
      <c r="AD36" s="103" cm="1">
        <f t="array" aca="1" ref="AD36" ca="1">INDIRECT("'"&amp;AD$31&amp;"NRARSummary'!H8")</f>
        <v>0.6977146159551747</v>
      </c>
      <c r="AE36" s="103" cm="1">
        <f t="array" aca="1" ref="AE36" ca="1">INDIRECT("'"&amp;AE$31&amp;"NRARSummary'!H8")</f>
        <v>0.69988984627063144</v>
      </c>
      <c r="AF36" s="103" cm="1">
        <f t="array" aca="1" ref="AF36" ca="1">INDIRECT("'"&amp;AF$31&amp;"NRARSummary'!H8")</f>
        <v>0.70209117934987364</v>
      </c>
      <c r="AG36" s="103" cm="1">
        <f t="array" aca="1" ref="AG36" ca="1">INDIRECT("'"&amp;AG$31&amp;"NRARSummary'!H8")</f>
        <v>0.70431892842606703</v>
      </c>
      <c r="AH36" s="104" cm="1">
        <f t="array" aca="1" ref="AH36" ca="1">INDIRECT("'"&amp;AH$31&amp;"NRARSummary'!H8")</f>
        <v>0.70657341049117428</v>
      </c>
    </row>
    <row r="37" spans="2:34" ht="15.75" thickBot="1" x14ac:dyDescent="0.3">
      <c r="B37" s="70" t="s">
        <v>101</v>
      </c>
      <c r="C37" s="71"/>
      <c r="D37" s="118">
        <f t="shared" ref="D37" ca="1" si="72">D36-D35</f>
        <v>-1.1226788637251297</v>
      </c>
      <c r="E37" s="118">
        <f t="shared" ref="E37" ca="1" si="73">E36-E35</f>
        <v>-2.0442502420212323</v>
      </c>
      <c r="F37" s="118">
        <f t="shared" ref="F37" ca="1" si="74">F36-F35</f>
        <v>-1.5578696218847869</v>
      </c>
      <c r="G37" s="118">
        <f t="shared" ref="G37" ca="1" si="75">G36-G35</f>
        <v>-1.9837076454679465</v>
      </c>
      <c r="H37" s="118">
        <f t="shared" ref="H37" ca="1" si="76">H36-H35</f>
        <v>-2.8957674128301893</v>
      </c>
      <c r="I37" s="118">
        <f t="shared" ref="I37" ca="1" si="77">I36-I35</f>
        <v>-3.7713714272871135</v>
      </c>
      <c r="J37" s="118">
        <f t="shared" ref="J37" ca="1" si="78">J36-J35</f>
        <v>-4.6471301226926638</v>
      </c>
      <c r="K37" s="118">
        <f t="shared" ref="K37" ca="1" si="79">K36-K35</f>
        <v>-5.5237411053955974</v>
      </c>
      <c r="L37" s="118">
        <f t="shared" ref="L37" ca="1" si="80">L36-L35</f>
        <v>-6.4000467253140005</v>
      </c>
      <c r="X37" s="46" t="s">
        <v>18</v>
      </c>
      <c r="Y37" s="69" cm="1">
        <f t="array" aca="1" ref="Y37" ca="1">INDIRECT("'"&amp;Y$31&amp;"NRARSummary'!H9")-INDIRECT("'"&amp;Y$31&amp;"NRARSummary'!H8")</f>
        <v>0.84474065427016376</v>
      </c>
      <c r="Z37" s="47" cm="1">
        <f t="array" aca="1" ref="Z37" ca="1">INDIRECT("'"&amp;Z$31&amp;"NRARSummary'!H9")-INDIRECT("'"&amp;Z$31&amp;"NRARSummary'!H8")</f>
        <v>0.85536388573703603</v>
      </c>
      <c r="AA37" s="47" cm="1">
        <f t="array" aca="1" ref="AA37" ca="1">INDIRECT("'"&amp;AA$31&amp;"NRARSummary'!H9")-INDIRECT("'"&amp;AA$31&amp;"NRARSummary'!H8")</f>
        <v>0.86516960936063991</v>
      </c>
      <c r="AB37" s="47" cm="1">
        <f t="array" aca="1" ref="AB37" ca="1">INDIRECT("'"&amp;AB$31&amp;"NRARSummary'!H9")-INDIRECT("'"&amp;AB$31&amp;"NRARSummary'!H8")</f>
        <v>0.87320358876029269</v>
      </c>
      <c r="AC37" s="47" cm="1">
        <f t="array" aca="1" ref="AC37" ca="1">INDIRECT("'"&amp;AC$31&amp;"NRARSummary'!H9")-INDIRECT("'"&amp;AC$31&amp;"NRARSummary'!H8")</f>
        <v>0.8768702702025386</v>
      </c>
      <c r="AD37" s="47" cm="1">
        <f t="array" aca="1" ref="AD37" ca="1">INDIRECT("'"&amp;AD$31&amp;"NRARSummary'!H9")-INDIRECT("'"&amp;AD$31&amp;"NRARSummary'!H8")</f>
        <v>0.87460996283563086</v>
      </c>
      <c r="AE37" s="47" cm="1">
        <f t="array" aca="1" ref="AE37" ca="1">INDIRECT("'"&amp;AE$31&amp;"NRARSummary'!H9")-INDIRECT("'"&amp;AE$31&amp;"NRARSummary'!H8")</f>
        <v>0.88014565867493089</v>
      </c>
      <c r="AF37" s="47" cm="1">
        <f t="array" aca="1" ref="AF37" ca="1">INDIRECT("'"&amp;AF$31&amp;"NRARSummary'!H9")-INDIRECT("'"&amp;AF$31&amp;"NRARSummary'!H8")</f>
        <v>0.88490878071921775</v>
      </c>
      <c r="AG37" s="47" cm="1">
        <f t="array" aca="1" ref="AG37" ca="1">INDIRECT("'"&amp;AG$31&amp;"NRARSummary'!H9")-INDIRECT("'"&amp;AG$31&amp;"NRARSummary'!H8")</f>
        <v>0.89357106591242574</v>
      </c>
      <c r="AH37" s="58" cm="1">
        <f t="array" aca="1" ref="AH37" ca="1">INDIRECT("'"&amp;AH$31&amp;"NRARSummary'!H9")-INDIRECT("'"&amp;AH$31&amp;"NRARSummary'!H8")</f>
        <v>0.88978863104383676</v>
      </c>
    </row>
    <row r="38" spans="2:34" ht="15.75" thickBot="1" x14ac:dyDescent="0.3">
      <c r="B38" s="70" t="s">
        <v>230</v>
      </c>
      <c r="C38" s="114" t="s">
        <v>168</v>
      </c>
      <c r="D38" s="114" t="str">
        <f t="shared" ref="D38" ca="1" si="81">IF(D37&gt;=0,"Yes","No")</f>
        <v>No</v>
      </c>
      <c r="E38" s="114" t="str">
        <f t="shared" ref="E38" ca="1" si="82">IF(E37&gt;=0,"Yes","No")</f>
        <v>No</v>
      </c>
      <c r="F38" s="114" t="str">
        <f t="shared" ref="F38" ca="1" si="83">IF(F37&gt;=0,"Yes","No")</f>
        <v>No</v>
      </c>
      <c r="G38" s="114" t="str">
        <f t="shared" ref="G38" ca="1" si="84">IF(G37&gt;=0,"Yes","No")</f>
        <v>No</v>
      </c>
      <c r="H38" s="114" t="str">
        <f t="shared" ref="H38" ca="1" si="85">IF(H37&gt;=0,"Yes","No")</f>
        <v>No</v>
      </c>
      <c r="I38" s="114" t="str">
        <f t="shared" ref="I38" ca="1" si="86">IF(I37&gt;=0,"Yes","No")</f>
        <v>No</v>
      </c>
      <c r="J38" s="114" t="str">
        <f t="shared" ref="J38" ca="1" si="87">IF(J37&gt;=0,"Yes","No")</f>
        <v>No</v>
      </c>
      <c r="K38" s="114" t="str">
        <f t="shared" ref="K38" ca="1" si="88">IF(K37&gt;=0,"Yes","No")</f>
        <v>No</v>
      </c>
      <c r="L38" s="114" t="str">
        <f t="shared" ref="L38" ca="1" si="89">IF(L37&gt;=0,"Yes","No")</f>
        <v>No</v>
      </c>
      <c r="X38" s="43" t="s">
        <v>10</v>
      </c>
      <c r="Y38" s="50">
        <f ca="1">SUM(Y32:Y37)</f>
        <v>20.366395436332738</v>
      </c>
      <c r="Z38" s="44">
        <f t="shared" ref="Z38:AH38" ca="1" si="90">SUM(Z32:Z37)</f>
        <v>20.701651004530891</v>
      </c>
      <c r="AA38" s="44">
        <f t="shared" ca="1" si="90"/>
        <v>20.859948973471408</v>
      </c>
      <c r="AB38" s="44">
        <f t="shared" ca="1" si="90"/>
        <v>20.87724027024738</v>
      </c>
      <c r="AC38" s="44">
        <f t="shared" ca="1" si="90"/>
        <v>20.85904111550709</v>
      </c>
      <c r="AD38" s="44">
        <f t="shared" ca="1" si="90"/>
        <v>20.906564584145066</v>
      </c>
      <c r="AE38" s="44">
        <f t="shared" ca="1" si="90"/>
        <v>20.917793438100851</v>
      </c>
      <c r="AF38" s="44">
        <f t="shared" ca="1" si="90"/>
        <v>20.993859543188268</v>
      </c>
      <c r="AG38" s="44">
        <f t="shared" ca="1" si="90"/>
        <v>21.060362797319165</v>
      </c>
      <c r="AH38" s="45">
        <f t="shared" ca="1" si="90"/>
        <v>21.131117614075393</v>
      </c>
    </row>
    <row r="39" spans="2:34" ht="15.75" thickBot="1" x14ac:dyDescent="0.3">
      <c r="X39" s="51" t="s">
        <v>93</v>
      </c>
      <c r="Y39" s="55"/>
      <c r="Z39" s="56">
        <f t="shared" ref="Z39" ca="1" si="91">-(Z38-Y38)</f>
        <v>-0.3352555681981535</v>
      </c>
      <c r="AA39" s="56">
        <f t="shared" ref="AA39" ca="1" si="92">-(AA38-Z38)</f>
        <v>-0.1582979689405164</v>
      </c>
      <c r="AB39" s="56">
        <f t="shared" ref="AB39" ca="1" si="93">-(AB38-AA38)</f>
        <v>-1.7291296775972853E-2</v>
      </c>
      <c r="AC39" s="56">
        <f t="shared" ref="AC39" ca="1" si="94">-(AC38-AB38)</f>
        <v>1.8199154740290879E-2</v>
      </c>
      <c r="AD39" s="56">
        <f t="shared" ref="AD39" ca="1" si="95">-(AD38-AC38)</f>
        <v>-4.7523468637976407E-2</v>
      </c>
      <c r="AE39" s="56">
        <f t="shared" ref="AE39" ca="1" si="96">-(AE38-AD38)</f>
        <v>-1.1228853955785212E-2</v>
      </c>
      <c r="AF39" s="56">
        <f t="shared" ref="AF39" ca="1" si="97">-(AF38-AE38)</f>
        <v>-7.6066105087416958E-2</v>
      </c>
      <c r="AG39" s="56">
        <f t="shared" ref="AG39" ca="1" si="98">-(AG38-AF38)</f>
        <v>-6.650325413089675E-2</v>
      </c>
      <c r="AH39" s="57">
        <f t="shared" ref="AH39" ca="1" si="99">-(AH38-AG38)</f>
        <v>-7.0754816756227967E-2</v>
      </c>
    </row>
    <row r="40" spans="2:34" ht="15.75" thickBot="1" x14ac:dyDescent="0.3">
      <c r="B40" s="70" t="s">
        <v>231</v>
      </c>
      <c r="C40" s="114" t="s">
        <v>168</v>
      </c>
      <c r="D40" s="114" t="str">
        <f ca="1">IF(OR(D20="Yes",D38="Yes"),"Yes","No")</f>
        <v>Yes</v>
      </c>
      <c r="E40" s="114" t="str">
        <f t="shared" ref="E40:L40" ca="1" si="100">IF(OR(E20="Yes",E38="Yes"),"Yes","No")</f>
        <v>Yes</v>
      </c>
      <c r="F40" s="114" t="str">
        <f t="shared" ca="1" si="100"/>
        <v>Yes</v>
      </c>
      <c r="G40" s="114" t="str">
        <f t="shared" ca="1" si="100"/>
        <v>Yes</v>
      </c>
      <c r="H40" s="114" t="str">
        <f t="shared" ca="1" si="100"/>
        <v>Yes</v>
      </c>
      <c r="I40" s="114" t="str">
        <f t="shared" ca="1" si="100"/>
        <v>Yes</v>
      </c>
      <c r="J40" s="114" t="str">
        <f t="shared" ca="1" si="100"/>
        <v>Yes</v>
      </c>
      <c r="K40" s="114" t="str">
        <f t="shared" ca="1" si="100"/>
        <v>Yes</v>
      </c>
      <c r="L40" s="114" t="str">
        <f t="shared" ca="1" si="100"/>
        <v>Yes</v>
      </c>
      <c r="X40" s="51" t="s">
        <v>223</v>
      </c>
      <c r="Y40" s="74"/>
      <c r="Z40" s="75">
        <f t="shared" ref="Z40:AH40" ca="1" si="101">1-Z38/$Y38</f>
        <v>-1.6461212748529519E-2</v>
      </c>
      <c r="AA40" s="75">
        <f t="shared" ca="1" si="101"/>
        <v>-2.4233720624818655E-2</v>
      </c>
      <c r="AB40" s="75">
        <f t="shared" ca="1" si="101"/>
        <v>-2.5082731773110822E-2</v>
      </c>
      <c r="AC40" s="75">
        <f t="shared" ca="1" si="101"/>
        <v>-2.4189144353717884E-2</v>
      </c>
      <c r="AD40" s="75">
        <f t="shared" ca="1" si="101"/>
        <v>-2.6522569960941267E-2</v>
      </c>
      <c r="AE40" s="75">
        <f t="shared" ca="1" si="101"/>
        <v>-2.7073912194813143E-2</v>
      </c>
      <c r="AF40" s="75">
        <f t="shared" ca="1" si="101"/>
        <v>-3.080879524396174E-2</v>
      </c>
      <c r="AG40" s="75">
        <f t="shared" ca="1" si="101"/>
        <v>-3.4074137623215428E-2</v>
      </c>
      <c r="AH40" s="76">
        <f t="shared" ca="1" si="101"/>
        <v>-3.7548233811586673E-2</v>
      </c>
    </row>
    <row r="41" spans="2:34" ht="15.75" thickBot="1" x14ac:dyDescent="0.3"/>
    <row r="42" spans="2:34" ht="15.75" thickBot="1" x14ac:dyDescent="0.3">
      <c r="B42" s="39"/>
      <c r="C42" s="266" t="s">
        <v>273</v>
      </c>
      <c r="D42" s="263"/>
      <c r="E42" s="263"/>
      <c r="F42" s="263"/>
      <c r="G42" s="263"/>
      <c r="H42" s="263"/>
      <c r="I42" s="263"/>
      <c r="J42" s="263"/>
      <c r="K42" s="263"/>
      <c r="L42" s="265"/>
    </row>
    <row r="43" spans="2:34" ht="15.75" thickBot="1" x14ac:dyDescent="0.3">
      <c r="B43" s="40" t="s">
        <v>1</v>
      </c>
      <c r="C43" s="48">
        <v>2020</v>
      </c>
      <c r="D43" s="34">
        <v>2021</v>
      </c>
      <c r="E43" s="34">
        <v>2022</v>
      </c>
      <c r="F43" s="34">
        <v>2023</v>
      </c>
      <c r="G43" s="34">
        <v>2024</v>
      </c>
      <c r="H43" s="34">
        <v>2025</v>
      </c>
      <c r="I43" s="34">
        <v>2026</v>
      </c>
      <c r="J43" s="34">
        <v>2027</v>
      </c>
      <c r="K43" s="34">
        <v>2028</v>
      </c>
      <c r="L43" s="35">
        <v>2029</v>
      </c>
      <c r="X43" s="39"/>
      <c r="Y43" s="271" t="s">
        <v>227</v>
      </c>
      <c r="Z43" s="272"/>
      <c r="AA43" s="272"/>
      <c r="AB43" s="272"/>
      <c r="AC43" s="272"/>
      <c r="AD43" s="272"/>
      <c r="AE43" s="272"/>
      <c r="AF43" s="272"/>
      <c r="AG43" s="272"/>
      <c r="AH43" s="273"/>
    </row>
    <row r="44" spans="2:34" ht="15.75" thickBot="1" x14ac:dyDescent="0.3">
      <c r="B44" s="41" t="s">
        <v>7</v>
      </c>
      <c r="C44" s="37">
        <f ca="1">OFFSET(PointsNoBACT!$A$5,MATCH(C$5,PointsNoBACT!$A$6:$A$15,0),MATCH("NOx",PointsNoBACT!$B$5:$H$5,0))</f>
        <v>13.537956387411262</v>
      </c>
      <c r="D44" s="32">
        <f ca="1">OFFSET(PointsNoBACT!$A$5,MATCH(D$5,PointsNoBACT!$A$6:$A$15,0),MATCH("NOx",PointsNoBACT!$B$5:$H$5,0))</f>
        <v>13.93339370519312</v>
      </c>
      <c r="E44" s="32">
        <f ca="1">OFFSET(PointsNoBACT!$A$5,MATCH(E$5,PointsNoBACT!$A$6:$A$15,0),MATCH("NOx",PointsNoBACT!$B$5:$H$5,0))</f>
        <v>14.107022446053078</v>
      </c>
      <c r="F44" s="32">
        <f ca="1">OFFSET(PointsNoBACT!$A$5,MATCH(F$5,PointsNoBACT!$A$6:$A$15,0),MATCH("NOx",PointsNoBACT!$B$5:$H$5,0))</f>
        <v>14.202371725165031</v>
      </c>
      <c r="G44" s="32">
        <f ca="1">OFFSET(PointsNoBACT!$A$5,MATCH(G$5,PointsNoBACT!$A$6:$A$15,0),MATCH("NOx",PointsNoBACT!$B$5:$H$5,0))</f>
        <v>14.30111490023358</v>
      </c>
      <c r="H44" s="32">
        <f ca="1">OFFSET(PointsNoBACT!$A$5,MATCH(H$5,PointsNoBACT!$A$6:$A$15,0),MATCH("NOx",PointsNoBACT!$B$5:$H$5,0))</f>
        <v>14.402233802471866</v>
      </c>
      <c r="I44" s="32">
        <f ca="1">OFFSET(PointsNoBACT!$A$5,MATCH(I$5,PointsNoBACT!$A$6:$A$15,0),MATCH("NOx",PointsNoBACT!$B$5:$H$5,0))</f>
        <v>14.499365042342939</v>
      </c>
      <c r="J44" s="32">
        <f ca="1">OFFSET(PointsNoBACT!$A$5,MATCH(J$5,PointsNoBACT!$A$6:$A$15,0),MATCH("NOx",PointsNoBACT!$B$5:$H$5,0))</f>
        <v>14.596496282213964</v>
      </c>
      <c r="K44" s="32">
        <f ca="1">OFFSET(PointsNoBACT!$A$5,MATCH(K$5,PointsNoBACT!$A$6:$A$15,0),MATCH("NOx",PointsNoBACT!$B$5:$H$5,0))</f>
        <v>14.693627522085009</v>
      </c>
      <c r="L44" s="33">
        <f ca="1">OFFSET(PointsNoBACT!$A$5,MATCH(L$5,PointsNoBACT!$A$6:$A$15,0),MATCH("NOx",PointsNoBACT!$B$5:$H$5,0))</f>
        <v>14.790758761956045</v>
      </c>
      <c r="X44" s="40" t="s">
        <v>1</v>
      </c>
      <c r="Y44" s="48">
        <v>2020</v>
      </c>
      <c r="Z44" s="34">
        <v>2021</v>
      </c>
      <c r="AA44" s="34">
        <v>2022</v>
      </c>
      <c r="AB44" s="34">
        <v>2023</v>
      </c>
      <c r="AC44" s="34">
        <v>2024</v>
      </c>
      <c r="AD44" s="34">
        <v>2025</v>
      </c>
      <c r="AE44" s="34">
        <v>2026</v>
      </c>
      <c r="AF44" s="34">
        <v>2027</v>
      </c>
      <c r="AG44" s="34">
        <v>2028</v>
      </c>
      <c r="AH44" s="35">
        <v>2029</v>
      </c>
    </row>
    <row r="45" spans="2:34" x14ac:dyDescent="0.25">
      <c r="B45" s="42" t="s">
        <v>16</v>
      </c>
      <c r="C45" s="38" cm="1">
        <f t="array" aca="1" ref="C45" ca="1">INDIRECT("TabSpHt"&amp;C$43&amp;"!K69")</f>
        <v>2.1671999999999998</v>
      </c>
      <c r="D45" s="30" cm="1">
        <f t="array" aca="1" ref="D45" ca="1">INDIRECT("TabSpHt"&amp;D$43&amp;"!K69")</f>
        <v>2.2225999999999999</v>
      </c>
      <c r="E45" s="30" cm="1">
        <f t="array" aca="1" ref="E45" ca="1">INDIRECT("TabSpHt"&amp;E$43&amp;"!K69")</f>
        <v>2.2532000000000001</v>
      </c>
      <c r="F45" s="30" cm="1">
        <f t="array" aca="1" ref="F45" ca="1">INDIRECT("TabSpHt"&amp;F$43&amp;"!K69")</f>
        <v>2.2749999999999999</v>
      </c>
      <c r="G45" s="30" cm="1">
        <f t="array" aca="1" ref="G45" ca="1">INDIRECT("TabSpHt"&amp;G$43&amp;"!K69")</f>
        <v>2.2924000000000002</v>
      </c>
      <c r="H45" s="30" cm="1">
        <f t="array" aca="1" ref="H45" ca="1">INDIRECT("TabSpHt"&amp;H$43&amp;"!K69")</f>
        <v>2.3089</v>
      </c>
      <c r="I45" s="30" cm="1">
        <f t="array" aca="1" ref="I45" ca="1">INDIRECT("TabSpHt"&amp;I$43&amp;"!K69")</f>
        <v>2.3229000000000002</v>
      </c>
      <c r="J45" s="30" cm="1">
        <f t="array" aca="1" ref="J45" ca="1">INDIRECT("TabSpHt"&amp;J$43&amp;"!K69")</f>
        <v>2.3369</v>
      </c>
      <c r="K45" s="30" cm="1">
        <f t="array" aca="1" ref="K45" ca="1">INDIRECT("TabSpHt"&amp;K$43&amp;"!K69")</f>
        <v>2.3515999999999999</v>
      </c>
      <c r="L45" s="31" cm="1">
        <f t="array" aca="1" ref="L45" ca="1">INDIRECT("TabSpHt"&amp;L$43&amp;"!K69")</f>
        <v>2.3664000000000001</v>
      </c>
      <c r="X45" s="41" t="s">
        <v>7</v>
      </c>
      <c r="Y45" s="37">
        <f ca="1">OFFSET(PointsNoBACT!$A$5,MATCH(Y$5,PointsNoBACT!$A$6:$A$15,0),MATCH("VOC",PointsNoBACT!$B$5:$H$5,0))</f>
        <v>3.8313242904623623E-2</v>
      </c>
      <c r="Z45" s="32">
        <f ca="1">OFFSET(PointsNoBACT!$A$5,MATCH(Z$5,PointsNoBACT!$A$6:$A$15,0),MATCH("VOC",PointsNoBACT!$B$5:$H$5,0))</f>
        <v>3.943235465060458E-2</v>
      </c>
      <c r="AA45" s="32">
        <f ca="1">OFFSET(PointsNoBACT!$A$5,MATCH(AA$5,PointsNoBACT!$A$6:$A$15,0),MATCH("VOC",PointsNoBACT!$B$5:$H$5,0))</f>
        <v>3.9923734585169623E-2</v>
      </c>
      <c r="AB45" s="32">
        <f ca="1">OFFSET(PointsNoBACT!$A$5,MATCH(AB$5,PointsNoBACT!$A$6:$A$15,0),MATCH("VOC",PointsNoBACT!$B$5:$H$5,0))</f>
        <v>4.0193578864974974E-2</v>
      </c>
      <c r="AC45" s="32">
        <f ca="1">OFFSET(PointsNoBACT!$A$5,MATCH(AC$5,PointsNoBACT!$A$6:$A$15,0),MATCH("VOC",PointsNoBACT!$B$5:$H$5,0))</f>
        <v>4.0473028077493756E-2</v>
      </c>
      <c r="AD45" s="32">
        <f ca="1">OFFSET(PointsNoBACT!$A$5,MATCH(AD$5,PointsNoBACT!$A$6:$A$15,0),MATCH("VOC",PointsNoBACT!$B$5:$H$5,0))</f>
        <v>4.0759200742912172E-2</v>
      </c>
      <c r="AE45" s="32">
        <f ca="1">OFFSET(PointsNoBACT!$A$5,MATCH(AE$5,PointsNoBACT!$A$6:$A$15,0),MATCH("VOC",PointsNoBACT!$B$5:$H$5,0))</f>
        <v>4.1034088080432844E-2</v>
      </c>
      <c r="AF45" s="32">
        <f ca="1">OFFSET(PointsNoBACT!$A$5,MATCH(AF$5,PointsNoBACT!$A$6:$A$15,0),MATCH("VOC",PointsNoBACT!$B$5:$H$5,0))</f>
        <v>4.1308975417953558E-2</v>
      </c>
      <c r="AG45" s="32">
        <f ca="1">OFFSET(PointsNoBACT!$A$5,MATCH(AG$5,PointsNoBACT!$A$6:$A$15,0),MATCH("VOC",PointsNoBACT!$B$5:$H$5,0))</f>
        <v>4.15838627554743E-2</v>
      </c>
      <c r="AH45" s="33">
        <f ca="1">OFFSET(PointsNoBACT!$A$5,MATCH(AH$5,PointsNoBACT!$A$6:$A$15,0),MATCH("VOC",PointsNoBACT!$B$5:$H$5,0))</f>
        <v>4.185875009299498E-2</v>
      </c>
    </row>
    <row r="46" spans="2:34" x14ac:dyDescent="0.25">
      <c r="B46" s="42" t="s">
        <v>17</v>
      </c>
      <c r="C46" s="38" cm="1">
        <f t="array" aca="1" ref="C46" ca="1">INDIRECT("'"&amp;C$23&amp;"NRARSummary'!C5")</f>
        <v>0.36092707252828565</v>
      </c>
      <c r="D46" s="38" cm="1">
        <f t="array" aca="1" ref="D46" ca="1">INDIRECT("'"&amp;D$23&amp;"NRARSummary'!C5")</f>
        <v>0.36570858244128562</v>
      </c>
      <c r="E46" s="38" cm="1">
        <f t="array" aca="1" ref="E46" ca="1">INDIRECT("'"&amp;E$23&amp;"NRARSummary'!C5")</f>
        <v>0.37178216351657167</v>
      </c>
      <c r="F46" s="38" cm="1">
        <f t="array" aca="1" ref="F46" ca="1">INDIRECT("'"&amp;F$23&amp;"NRARSummary'!C5")</f>
        <v>0.37724758337124426</v>
      </c>
      <c r="G46" s="38" cm="1">
        <f t="array" aca="1" ref="G46" ca="1">INDIRECT("'"&amp;G$23&amp;"NRARSummary'!C5")</f>
        <v>0.38255523812003822</v>
      </c>
      <c r="H46" s="30" cm="1">
        <f t="array" aca="1" ref="H46" ca="1">INDIRECT("'"&amp;H$23&amp;"NRARSummary'!C5")</f>
        <v>0.38771977124522372</v>
      </c>
      <c r="I46" s="38" cm="1">
        <f t="array" aca="1" ref="I46" ca="1">INDIRECT("'"&amp;I$23&amp;"NRARSummary'!C5")</f>
        <v>0.39237950306004149</v>
      </c>
      <c r="J46" s="30" cm="1">
        <f t="array" aca="1" ref="J46" ca="1">INDIRECT("'"&amp;J$23&amp;"NRARSummary'!C5")</f>
        <v>0.39703923487485926</v>
      </c>
      <c r="K46" s="30" cm="1">
        <f t="array" aca="1" ref="K46" ca="1">INDIRECT("'"&amp;K$23&amp;"NRARSummary'!C5")</f>
        <v>0.40169896668967719</v>
      </c>
      <c r="L46" s="31" cm="1">
        <f t="array" aca="1" ref="L46" ca="1">INDIRECT("'"&amp;L$23&amp;"NRARSummary'!C5")</f>
        <v>0.40635869850449502</v>
      </c>
      <c r="X46" s="42" t="s">
        <v>16</v>
      </c>
      <c r="Y46" s="38" cm="1">
        <f t="array" aca="1" ref="Y46" ca="1">INDIRECT("TabSpHt"&amp;Y$44&amp;"!V69")</f>
        <v>7.1388999999999996</v>
      </c>
      <c r="Z46" s="30" cm="1">
        <f t="array" aca="1" ref="Z46" ca="1">INDIRECT("TabSpHt"&amp;Z$44&amp;"!V69")</f>
        <v>7.0358000000000001</v>
      </c>
      <c r="AA46" s="30" cm="1">
        <f t="array" aca="1" ref="AA46" ca="1">INDIRECT("TabSpHt"&amp;AA$44&amp;"!V69")</f>
        <v>7.6056999999999997</v>
      </c>
      <c r="AB46" s="30" cm="1">
        <f t="array" aca="1" ref="AB46" ca="1">INDIRECT("TabSpHt"&amp;AB$44&amp;"!V69")</f>
        <v>8.3933</v>
      </c>
      <c r="AC46" s="30" cm="1">
        <f t="array" aca="1" ref="AC46" ca="1">INDIRECT("TabSpHt"&amp;AC$44&amp;"!V69")</f>
        <v>8.6082999999999998</v>
      </c>
      <c r="AD46" s="30" cm="1">
        <f t="array" aca="1" ref="AD46" ca="1">INDIRECT("TabSpHt"&amp;AD$44&amp;"!V69")</f>
        <v>8.6651000000000007</v>
      </c>
      <c r="AE46" s="30" cm="1">
        <f t="array" aca="1" ref="AE46" ca="1">INDIRECT("TabSpHt"&amp;AE$44&amp;"!V69")</f>
        <v>8.5990000000000002</v>
      </c>
      <c r="AF46" s="30" cm="1">
        <f t="array" aca="1" ref="AF46" ca="1">INDIRECT("TabSpHt"&amp;AF$44&amp;"!V69")</f>
        <v>8.5562000000000005</v>
      </c>
      <c r="AG46" s="30" cm="1">
        <f t="array" aca="1" ref="AG46" ca="1">INDIRECT("TabSpHt"&amp;AG$44&amp;"!V69")</f>
        <v>8.6118000000000006</v>
      </c>
      <c r="AH46" s="31" cm="1">
        <f t="array" aca="1" ref="AH46" ca="1">INDIRECT("TabSpHt"&amp;AH$44&amp;"!V69")</f>
        <v>8.6674000000000007</v>
      </c>
    </row>
    <row r="47" spans="2:34" x14ac:dyDescent="0.25">
      <c r="B47" s="42" t="s">
        <v>19</v>
      </c>
      <c r="C47" s="38">
        <f ca="1">OFFSET(OnRoad!$F$6,MATCH(C43,OnRoad!$A$7:$A$16,0),0)</f>
        <v>1.176115133924645</v>
      </c>
      <c r="D47" s="38">
        <f ca="1">OFFSET(OnRoad!$F$6,MATCH(D43,OnRoad!$A$7:$A$16,0),0)</f>
        <v>1.0587454219352588</v>
      </c>
      <c r="E47" s="38">
        <f ca="1">OFFSET(OnRoad!$F$6,MATCH(E43,OnRoad!$A$7:$A$16,0),0)</f>
        <v>1.0083207462853889</v>
      </c>
      <c r="F47" s="38">
        <f ca="1">OFFSET(OnRoad!$F$6,MATCH(F43,OnRoad!$A$7:$A$16,0),0)</f>
        <v>0.92472027675131474</v>
      </c>
      <c r="G47" s="38">
        <f ca="1">OFFSET(OnRoad!$F$6,MATCH(G43,OnRoad!$A$7:$A$16,0),0)</f>
        <v>0.82465140630120271</v>
      </c>
      <c r="H47" s="38">
        <f ca="1">OFFSET(OnRoad!$F$6,MATCH(H43,OnRoad!$A$7:$A$16,0),0)</f>
        <v>0.76578886281896508</v>
      </c>
      <c r="I47" s="38">
        <f ca="1">OFFSET(OnRoad!$F$6,MATCH(I43,OnRoad!$A$7:$A$16,0),0)</f>
        <v>0.68601154556560284</v>
      </c>
      <c r="J47" s="38">
        <f ca="1">OFFSET(OnRoad!$F$6,MATCH(J43,OnRoad!$A$7:$A$16,0),0)</f>
        <v>0.64798078877541943</v>
      </c>
      <c r="K47" s="38">
        <f ca="1">OFFSET(OnRoad!$F$6,MATCH(K43,OnRoad!$A$7:$A$16,0),0)</f>
        <v>0.60113500061042435</v>
      </c>
      <c r="L47" s="31">
        <f ca="1">OFFSET(OnRoad!$F$6,MATCH(L43,OnRoad!$A$7:$A$16,0),0)</f>
        <v>0.56547844336394115</v>
      </c>
      <c r="X47" s="42" t="s">
        <v>17</v>
      </c>
      <c r="Y47" s="38" cm="1">
        <f t="array" aca="1" ref="Y47" ca="1">INDIRECT("'"&amp;Y$44&amp;"NRARSummary'!J5")</f>
        <v>2.2985325717898895</v>
      </c>
      <c r="Z47" s="38" cm="1">
        <f t="array" aca="1" ref="Z47" ca="1">INDIRECT("'"&amp;Z$44&amp;"NRARSummary'!J5")</f>
        <v>2.3289832005010545</v>
      </c>
      <c r="AA47" s="38" cm="1">
        <f t="array" aca="1" ref="AA47" ca="1">INDIRECT("'"&amp;AA$44&amp;"NRARSummary'!J5")</f>
        <v>2.3676622716806137</v>
      </c>
      <c r="AB47" s="38" cm="1">
        <f t="array" aca="1" ref="AB47" ca="1">INDIRECT("'"&amp;AB$44&amp;"NRARSummary'!J5")</f>
        <v>2.4024683211866056</v>
      </c>
      <c r="AC47" s="38" cm="1">
        <f t="array" aca="1" ref="AC47" ca="1">INDIRECT("'"&amp;AC$44&amp;"NRARSummary'!J5")</f>
        <v>2.4362696573802549</v>
      </c>
      <c r="AD47" s="30" cm="1">
        <f t="array" aca="1" ref="AD47" ca="1">INDIRECT("'"&amp;AD$44&amp;"NRARSummary'!J5")</f>
        <v>2.4691595360008072</v>
      </c>
      <c r="AE47" s="38" cm="1">
        <f t="array" aca="1" ref="AE47" ca="1">INDIRECT("'"&amp;AE$44&amp;"NRARSummary'!J5")</f>
        <v>2.4988346315184078</v>
      </c>
      <c r="AF47" s="30" cm="1">
        <f t="array" aca="1" ref="AF47" ca="1">INDIRECT("'"&amp;AF$44&amp;"NRARSummary'!J5")</f>
        <v>2.5285097270360049</v>
      </c>
      <c r="AG47" s="30" cm="1">
        <f t="array" aca="1" ref="AG47" ca="1">INDIRECT("'"&amp;AG$44&amp;"NRARSummary'!J5")</f>
        <v>2.5581848225536059</v>
      </c>
      <c r="AH47" s="31" cm="1">
        <f t="array" aca="1" ref="AH47" ca="1">INDIRECT("'"&amp;AH$44&amp;"NRARSummary'!J5")</f>
        <v>2.5878599180712056</v>
      </c>
    </row>
    <row r="48" spans="2:34" x14ac:dyDescent="0.25">
      <c r="B48" s="42" t="s">
        <v>173</v>
      </c>
      <c r="C48" s="102" cm="1">
        <f t="array" aca="1" ref="C48" ca="1">INDIRECT("'"&amp;C$43&amp;"NRARSummary'!C8")</f>
        <v>0.43349282211779516</v>
      </c>
      <c r="D48" s="30" cm="1">
        <f t="array" aca="1" ref="D48" ca="1">INDIRECT("'"&amp;D$43&amp;"NRARSummary'!C8")</f>
        <v>0.43554210864440557</v>
      </c>
      <c r="E48" s="103" cm="1">
        <f t="array" aca="1" ref="E48" ca="1">INDIRECT("'"&amp;E$43&amp;"NRARSummary'!C8")</f>
        <v>0.43761598660933571</v>
      </c>
      <c r="F48" s="103" cm="1">
        <f t="array" aca="1" ref="F48" ca="1">INDIRECT("'"&amp;F$43&amp;"NRARSummary'!C8")</f>
        <v>0.43971475110984493</v>
      </c>
      <c r="G48" s="103" cm="1">
        <f t="array" aca="1" ref="G48" ca="1">INDIRECT("'"&amp;G$43&amp;"NRARSummary'!C8")</f>
        <v>0.43971475110984493</v>
      </c>
      <c r="H48" s="103" cm="1">
        <f t="array" aca="1" ref="H48" ca="1">INDIRECT("'"&amp;H$43&amp;"NRARSummary'!C8")</f>
        <v>0.44398813785496954</v>
      </c>
      <c r="I48" s="103" cm="1">
        <f t="array" aca="1" ref="I48" ca="1">INDIRECT("'"&amp;I$43&amp;"NRARSummary'!C8")</f>
        <v>0.44616336817042634</v>
      </c>
      <c r="J48" s="103" cm="1">
        <f t="array" aca="1" ref="J48" ca="1">INDIRECT("'"&amp;J$43&amp;"NRARSummary'!C8")</f>
        <v>0.44836470124966848</v>
      </c>
      <c r="K48" s="103" cm="1">
        <f t="array" aca="1" ref="K48" ca="1">INDIRECT("'"&amp;K$43&amp;"NRARSummary'!C8")</f>
        <v>0.45059245032586187</v>
      </c>
      <c r="L48" s="104" cm="1">
        <f t="array" aca="1" ref="L48" ca="1">INDIRECT("'"&amp;L$43&amp;"NRARSummary'!C8")</f>
        <v>0.45284693239096918</v>
      </c>
      <c r="X48" s="42" t="s">
        <v>19</v>
      </c>
      <c r="Y48" s="38">
        <f ca="1">OFFSET(OnRoad!$T$6,MATCH(Y44,OnRoad!$A$7:$A$16,0),0)</f>
        <v>1.8594191911790356</v>
      </c>
      <c r="Z48" s="38">
        <f ca="1">OFFSET(OnRoad!$T$6,MATCH(Z44,OnRoad!$A$7:$A$16,0),0)</f>
        <v>1.7582452502421497</v>
      </c>
      <c r="AA48" s="38">
        <f ca="1">OFFSET(OnRoad!$T$6,MATCH(AA44,OnRoad!$A$7:$A$16,0),0)</f>
        <v>1.7532833896623616</v>
      </c>
      <c r="AB48" s="38">
        <f ca="1">OFFSET(OnRoad!$T$6,MATCH(AB44,OnRoad!$A$7:$A$16,0),0)</f>
        <v>1.6757179482818756</v>
      </c>
      <c r="AC48" s="38">
        <f ca="1">OFFSET(OnRoad!$T$6,MATCH(AC44,OnRoad!$A$7:$A$16,0),0)</f>
        <v>1.5906385241765824</v>
      </c>
      <c r="AD48" s="38">
        <f ca="1">OFFSET(OnRoad!$T$6,MATCH(AD44,OnRoad!$A$7:$A$16,0),0)</f>
        <v>1.5275311598216172</v>
      </c>
      <c r="AE48" s="38">
        <f ca="1">OFFSET(OnRoad!$T$6,MATCH(AE44,OnRoad!$A$7:$A$16,0),0)</f>
        <v>1.4356581212743627</v>
      </c>
      <c r="AF48" s="38">
        <f ca="1">OFFSET(OnRoad!$T$6,MATCH(AF44,OnRoad!$A$7:$A$16,0),0)</f>
        <v>1.389866186726634</v>
      </c>
      <c r="AG48" s="38">
        <f ca="1">OFFSET(OnRoad!$T$6,MATCH(AG44,OnRoad!$A$7:$A$16,0),0)</f>
        <v>1.3561582087400064</v>
      </c>
      <c r="AH48" s="31">
        <f ca="1">OFFSET(OnRoad!$T$6,MATCH(AH44,OnRoad!$A$7:$A$16,0),0)</f>
        <v>1.3386539588354516</v>
      </c>
    </row>
    <row r="49" spans="2:34" ht="15.75" thickBot="1" x14ac:dyDescent="0.3">
      <c r="B49" s="46" t="s">
        <v>18</v>
      </c>
      <c r="C49" s="69" cm="1">
        <f t="array" aca="1" ref="C49" ca="1">INDIRECT("'"&amp;C$43&amp;"NRARSummary'!C9")-INDIRECT("'"&amp;C$43&amp;"NRARSummary'!C8")</f>
        <v>0.28535657602107622</v>
      </c>
      <c r="D49" s="47" cm="1">
        <f t="array" aca="1" ref="D49" ca="1">INDIRECT("'"&amp;D$43&amp;"NRARSummary'!C9")-INDIRECT("'"&amp;D$43&amp;"NRARSummary'!C8")</f>
        <v>0.29443214735346024</v>
      </c>
      <c r="E49" s="47" cm="1">
        <f t="array" aca="1" ref="E49" ca="1">INDIRECT("'"&amp;E$43&amp;"NRARSummary'!C9")-INDIRECT("'"&amp;E$43&amp;"NRARSummary'!C8")</f>
        <v>0.3027917130367323</v>
      </c>
      <c r="F49" s="47" cm="1">
        <f t="array" aca="1" ref="F49" ca="1">INDIRECT("'"&amp;F$43&amp;"NRARSummary'!C9")-INDIRECT("'"&amp;F$43&amp;"NRARSummary'!C8")</f>
        <v>0.30962171732196508</v>
      </c>
      <c r="G49" s="47" cm="1">
        <f t="array" aca="1" ref="G49" ca="1">INDIRECT("'"&amp;G$43&amp;"NRARSummary'!C9")-INDIRECT("'"&amp;G$43&amp;"NRARSummary'!C8")</f>
        <v>0.31297571031461335</v>
      </c>
      <c r="H49" s="47" cm="1">
        <f t="array" aca="1" ref="H49" ca="1">INDIRECT("'"&amp;H$43&amp;"NRARSummary'!C9")-INDIRECT("'"&amp;H$43&amp;"NRARSummary'!C8")</f>
        <v>0.31161919630452656</v>
      </c>
      <c r="I49" s="47" cm="1">
        <f t="array" aca="1" ref="I49" ca="1">INDIRECT("'"&amp;I$43&amp;"NRARSummary'!C9")-INDIRECT("'"&amp;I$43&amp;"NRARSummary'!C8")</f>
        <v>0.31630870517554732</v>
      </c>
      <c r="J49" s="47" cm="1">
        <f t="array" aca="1" ref="J49" ca="1">INDIRECT("'"&amp;J$43&amp;"NRARSummary'!C9")-INDIRECT("'"&amp;J$43&amp;"NRARSummary'!C8")</f>
        <v>0.32048242495938567</v>
      </c>
      <c r="K49" s="47" cm="1">
        <f t="array" aca="1" ref="K49" ca="1">INDIRECT("'"&amp;K$43&amp;"NRARSummary'!C9")-INDIRECT("'"&amp;K$43&amp;"NRARSummary'!C8")</f>
        <v>0.3278419509381007</v>
      </c>
      <c r="L49" s="58" cm="1">
        <f t="array" aca="1" ref="L49" ca="1">INDIRECT("'"&amp;L$43&amp;"NRARSummary'!C9")-INDIRECT("'"&amp;L$43&amp;"NRARSummary'!C8")</f>
        <v>0.32506758468466801</v>
      </c>
      <c r="X49" s="42" t="s">
        <v>173</v>
      </c>
      <c r="Y49" s="102" cm="1">
        <f t="array" aca="1" ref="Y49" ca="1">INDIRECT("'"&amp;Y$44&amp;"NRARSummary'!J8")</f>
        <v>0.30708603691207981</v>
      </c>
      <c r="Z49" s="30" cm="1">
        <f t="array" aca="1" ref="Z49" ca="1">INDIRECT("'"&amp;Z$44&amp;"NRARSummary'!J8")</f>
        <v>0.32283825730585647</v>
      </c>
      <c r="AA49" s="103" cm="1">
        <f t="array" aca="1" ref="AA49" ca="1">INDIRECT("'"&amp;AA$44&amp;"NRARSummary'!J8")</f>
        <v>0.32439278381107606</v>
      </c>
      <c r="AB49" s="103" cm="1">
        <f t="array" aca="1" ref="AB49" ca="1">INDIRECT("'"&amp;AB$44&amp;"NRARSummary'!J8")</f>
        <v>0.32596596463435829</v>
      </c>
      <c r="AC49" s="103" cm="1">
        <f t="array" aca="1" ref="AC49" ca="1">INDIRECT("'"&amp;AC$44&amp;"NRARSummary'!J8")</f>
        <v>0.32596596463435829</v>
      </c>
      <c r="AD49" s="103" cm="1">
        <f t="array" aca="1" ref="AD49" ca="1">INDIRECT("'"&amp;AD$44&amp;"NRARSummary'!J8")</f>
        <v>0.32916918732859934</v>
      </c>
      <c r="AE49" s="103" cm="1">
        <f t="array" aca="1" ref="AE49" ca="1">INDIRECT("'"&amp;AE$44&amp;"NRARSummary'!J8")</f>
        <v>0.33079968499409174</v>
      </c>
      <c r="AF49" s="103" cm="1">
        <f t="array" aca="1" ref="AF49" ca="1">INDIRECT("'"&amp;AF$44&amp;"NRARSummary'!J8")</f>
        <v>0.33244974863157023</v>
      </c>
      <c r="AG49" s="103" cm="1">
        <f t="array" aca="1" ref="AG49" ca="1">INDIRECT("'"&amp;AG$44&amp;"NRARSummary'!J8")</f>
        <v>0.33411961303269827</v>
      </c>
      <c r="AH49" s="104" cm="1">
        <f t="array" aca="1" ref="AH49" ca="1">INDIRECT("'"&amp;AH$44&amp;"NRARSummary'!J8")</f>
        <v>0.33580951580663992</v>
      </c>
    </row>
    <row r="50" spans="2:34" ht="15.75" thickBot="1" x14ac:dyDescent="0.3">
      <c r="B50" s="43" t="s">
        <v>10</v>
      </c>
      <c r="C50" s="50">
        <f ca="1">SUM(C44:C49)</f>
        <v>17.96104799200306</v>
      </c>
      <c r="D50" s="44">
        <f t="shared" ref="D50:L50" ca="1" si="102">SUM(D44:D49)</f>
        <v>18.310421965567532</v>
      </c>
      <c r="E50" s="44">
        <f t="shared" ca="1" si="102"/>
        <v>18.480733055501108</v>
      </c>
      <c r="F50" s="44">
        <f t="shared" ca="1" si="102"/>
        <v>18.528676053719398</v>
      </c>
      <c r="G50" s="44">
        <f t="shared" ca="1" si="102"/>
        <v>18.553412006079281</v>
      </c>
      <c r="H50" s="44">
        <f t="shared" ca="1" si="102"/>
        <v>18.620249770695551</v>
      </c>
      <c r="I50" s="44">
        <f t="shared" ca="1" si="102"/>
        <v>18.663128164314557</v>
      </c>
      <c r="J50" s="44">
        <f t="shared" ca="1" si="102"/>
        <v>18.7472634320733</v>
      </c>
      <c r="K50" s="44">
        <f t="shared" ca="1" si="102"/>
        <v>18.82649589064907</v>
      </c>
      <c r="L50" s="45">
        <f t="shared" ca="1" si="102"/>
        <v>18.906910420900115</v>
      </c>
      <c r="X50" s="46" t="s">
        <v>18</v>
      </c>
      <c r="Y50" s="69" cm="1">
        <f t="array" aca="1" ref="Y50" ca="1">INDIRECT("'"&amp;Y$44&amp;"NRARSummary'!J9")-INDIRECT("'"&amp;Y$44&amp;"NRARSummary'!J8")</f>
        <v>3.324009807992609</v>
      </c>
      <c r="Z50" s="47" cm="1">
        <f t="array" aca="1" ref="Z50" ca="1">INDIRECT("'"&amp;Z$44&amp;"NRARSummary'!J9")-INDIRECT("'"&amp;Z$44&amp;"NRARSummary'!J8")</f>
        <v>3.2359870654391347</v>
      </c>
      <c r="AA50" s="47" cm="1">
        <f t="array" aca="1" ref="AA50" ca="1">INDIRECT("'"&amp;AA$44&amp;"NRARSummary'!J9")-INDIRECT("'"&amp;AA$44&amp;"NRARSummary'!J8")</f>
        <v>3.1394443964627632</v>
      </c>
      <c r="AB50" s="47" cm="1">
        <f t="array" aca="1" ref="AB50" ca="1">INDIRECT("'"&amp;AB$44&amp;"NRARSummary'!J9")-INDIRECT("'"&amp;AB$44&amp;"NRARSummary'!J8")</f>
        <v>3.041355019052737</v>
      </c>
      <c r="AC50" s="47" cm="1">
        <f t="array" aca="1" ref="AC50" ca="1">INDIRECT("'"&amp;AC$44&amp;"NRARSummary'!J9")-INDIRECT("'"&amp;AC$44&amp;"NRARSummary'!J8")</f>
        <v>2.9228570543660175</v>
      </c>
      <c r="AD50" s="47" cm="1">
        <f t="array" aca="1" ref="AD50" ca="1">INDIRECT("'"&amp;AD$44&amp;"NRARSummary'!J9")-INDIRECT("'"&amp;AD$44&amp;"NRARSummary'!J8")</f>
        <v>2.7862724365695639</v>
      </c>
      <c r="AE50" s="47" cm="1">
        <f t="array" aca="1" ref="AE50" ca="1">INDIRECT("'"&amp;AE$44&amp;"NRARSummary'!J9")-INDIRECT("'"&amp;AE$44&amp;"NRARSummary'!J8")</f>
        <v>2.7577736247466387</v>
      </c>
      <c r="AF50" s="47" cm="1">
        <f t="array" aca="1" ref="AF50" ca="1">INDIRECT("'"&amp;AF$44&amp;"NRARSummary'!J9")-INDIRECT("'"&amp;AF$44&amp;"NRARSummary'!J8")</f>
        <v>2.7453059900167305</v>
      </c>
      <c r="AG50" s="47" cm="1">
        <f t="array" aca="1" ref="AG50" ca="1">INDIRECT("'"&amp;AG$44&amp;"NRARSummary'!J9")-INDIRECT("'"&amp;AG$44&amp;"NRARSummary'!J8")</f>
        <v>2.7869671177617072</v>
      </c>
      <c r="AH50" s="58" cm="1">
        <f t="array" aca="1" ref="AH50" ca="1">INDIRECT("'"&amp;AH$44&amp;"NRARSummary'!J9")-INDIRECT("'"&amp;AH$44&amp;"NRARSummary'!J8")</f>
        <v>2.7014738285754705</v>
      </c>
    </row>
    <row r="51" spans="2:34" ht="15.75" thickBot="1" x14ac:dyDescent="0.3">
      <c r="B51" s="51" t="s">
        <v>93</v>
      </c>
      <c r="C51" s="55"/>
      <c r="D51" s="56">
        <f t="shared" ref="D51" ca="1" si="103">-(D50-C50)</f>
        <v>-0.34937397356447164</v>
      </c>
      <c r="E51" s="56">
        <f t="shared" ref="E51" ca="1" si="104">-(E50-D50)</f>
        <v>-0.17031108993357691</v>
      </c>
      <c r="F51" s="56">
        <f t="shared" ref="F51" ca="1" si="105">-(F50-E50)</f>
        <v>-4.794299821828929E-2</v>
      </c>
      <c r="G51" s="56">
        <f t="shared" ref="G51" ca="1" si="106">-(G50-F50)</f>
        <v>-2.4735952359883129E-2</v>
      </c>
      <c r="H51" s="56">
        <f t="shared" ref="H51" ca="1" si="107">-(H50-G50)</f>
        <v>-6.6837764616270334E-2</v>
      </c>
      <c r="I51" s="56">
        <f t="shared" ref="I51" ca="1" si="108">-(I50-H50)</f>
        <v>-4.2878393619005806E-2</v>
      </c>
      <c r="J51" s="56">
        <f t="shared" ref="J51" ca="1" si="109">-(J50-I50)</f>
        <v>-8.4135267758743026E-2</v>
      </c>
      <c r="K51" s="56">
        <f t="shared" ref="K51" ca="1" si="110">-(K50-J50)</f>
        <v>-7.9232458575770437E-2</v>
      </c>
      <c r="L51" s="57">
        <f t="shared" ref="L51" ca="1" si="111">-(L50-K50)</f>
        <v>-8.041453025104417E-2</v>
      </c>
      <c r="X51" s="43" t="s">
        <v>10</v>
      </c>
      <c r="Y51" s="50">
        <f ca="1">SUM(Y45:Y50)</f>
        <v>14.966260850778237</v>
      </c>
      <c r="Z51" s="44">
        <f t="shared" ref="Z51:AH51" ca="1" si="112">SUM(Z45:Z50)</f>
        <v>14.721286128138798</v>
      </c>
      <c r="AA51" s="44">
        <f t="shared" ca="1" si="112"/>
        <v>15.230406576201982</v>
      </c>
      <c r="AB51" s="44">
        <f t="shared" ca="1" si="112"/>
        <v>15.87900083202055</v>
      </c>
      <c r="AC51" s="44">
        <f t="shared" ca="1" si="112"/>
        <v>15.924504228634706</v>
      </c>
      <c r="AD51" s="44">
        <f t="shared" ca="1" si="112"/>
        <v>15.817991520463501</v>
      </c>
      <c r="AE51" s="44">
        <f t="shared" ca="1" si="112"/>
        <v>15.663100150613936</v>
      </c>
      <c r="AF51" s="44">
        <f t="shared" ca="1" si="112"/>
        <v>15.593640627828892</v>
      </c>
      <c r="AG51" s="44">
        <f t="shared" ca="1" si="112"/>
        <v>15.688813624843492</v>
      </c>
      <c r="AH51" s="45">
        <f t="shared" ca="1" si="112"/>
        <v>15.673055971381764</v>
      </c>
    </row>
    <row r="52" spans="2:34" ht="15.75" thickBot="1" x14ac:dyDescent="0.3">
      <c r="B52" s="51" t="s">
        <v>223</v>
      </c>
      <c r="C52" s="74"/>
      <c r="D52" s="75">
        <f t="shared" ref="D52:L52" ca="1" si="113">1-D50/$C50</f>
        <v>-1.9451758812738973E-2</v>
      </c>
      <c r="E52" s="75">
        <f t="shared" ca="1" si="113"/>
        <v>-2.8934005617569314E-2</v>
      </c>
      <c r="F52" s="75">
        <f t="shared" ca="1" si="113"/>
        <v>-3.1603281833502583E-2</v>
      </c>
      <c r="G52" s="75">
        <f t="shared" ca="1" si="113"/>
        <v>-3.2980481670109807E-2</v>
      </c>
      <c r="H52" s="75">
        <f t="shared" ca="1" si="113"/>
        <v>-3.6701743627988392E-2</v>
      </c>
      <c r="I52" s="75">
        <f t="shared" ca="1" si="113"/>
        <v>-3.9089042723124523E-2</v>
      </c>
      <c r="J52" s="75">
        <f t="shared" ca="1" si="113"/>
        <v>-4.3773361132395605E-2</v>
      </c>
      <c r="K52" s="75">
        <f t="shared" ca="1" si="113"/>
        <v>-4.8184710548701881E-2</v>
      </c>
      <c r="L52" s="76">
        <f t="shared" ca="1" si="113"/>
        <v>-5.2661873033143181E-2</v>
      </c>
      <c r="X52" s="51" t="s">
        <v>93</v>
      </c>
      <c r="Y52" s="55"/>
      <c r="Z52" s="56">
        <f t="shared" ref="Z52" ca="1" si="114">-(Z51-Y51)</f>
        <v>0.24497472263943898</v>
      </c>
      <c r="AA52" s="56">
        <f t="shared" ref="AA52" ca="1" si="115">-(AA51-Z51)</f>
        <v>-0.50912044806318413</v>
      </c>
      <c r="AB52" s="56">
        <f t="shared" ref="AB52" ca="1" si="116">-(AB51-AA51)</f>
        <v>-0.64859425581856733</v>
      </c>
      <c r="AC52" s="56">
        <f t="shared" ref="AC52" ca="1" si="117">-(AC51-AB51)</f>
        <v>-4.5503396614156699E-2</v>
      </c>
      <c r="AD52" s="56">
        <f t="shared" ref="AD52" ca="1" si="118">-(AD51-AC51)</f>
        <v>0.10651270817120562</v>
      </c>
      <c r="AE52" s="56">
        <f t="shared" ref="AE52" ca="1" si="119">-(AE51-AD51)</f>
        <v>0.15489136984956531</v>
      </c>
      <c r="AF52" s="56">
        <f t="shared" ref="AF52" ca="1" si="120">-(AF51-AE51)</f>
        <v>6.9459522785043859E-2</v>
      </c>
      <c r="AG52" s="56">
        <f t="shared" ref="AG52" ca="1" si="121">-(AG51-AF51)</f>
        <v>-9.5172997014600469E-2</v>
      </c>
      <c r="AH52" s="57">
        <f t="shared" ref="AH52" ca="1" si="122">-(AH51-AG51)</f>
        <v>1.5757653461728083E-2</v>
      </c>
    </row>
    <row r="53" spans="2:34" ht="15.75" thickBot="1" x14ac:dyDescent="0.3">
      <c r="X53" s="51" t="s">
        <v>223</v>
      </c>
      <c r="Y53" s="74"/>
      <c r="Z53" s="75">
        <f t="shared" ref="Z53:AH53" ca="1" si="123">1-Z51/$Y51</f>
        <v>1.6368465382367026E-2</v>
      </c>
      <c r="AA53" s="75">
        <f t="shared" ca="1" si="123"/>
        <v>-1.764941344116755E-2</v>
      </c>
      <c r="AB53" s="75">
        <f t="shared" ca="1" si="123"/>
        <v>-6.0986507608201235E-2</v>
      </c>
      <c r="AC53" s="75">
        <f t="shared" ca="1" si="123"/>
        <v>-6.4026906079659884E-2</v>
      </c>
      <c r="AD53" s="75">
        <f t="shared" ca="1" si="123"/>
        <v>-5.6910051092753378E-2</v>
      </c>
      <c r="AE53" s="75">
        <f t="shared" ca="1" si="123"/>
        <v>-4.6560681173712259E-2</v>
      </c>
      <c r="AF53" s="75">
        <f t="shared" ca="1" si="123"/>
        <v>-4.191960726235977E-2</v>
      </c>
      <c r="AG53" s="75">
        <f t="shared" ca="1" si="123"/>
        <v>-4.8278777262370287E-2</v>
      </c>
      <c r="AH53" s="76">
        <f t="shared" ca="1" si="123"/>
        <v>-4.7225898816722456E-2</v>
      </c>
    </row>
    <row r="54" spans="2:34" x14ac:dyDescent="0.25">
      <c r="B54" s="39"/>
      <c r="C54" s="266" t="s">
        <v>274</v>
      </c>
      <c r="D54" s="263"/>
      <c r="E54" s="263"/>
      <c r="F54" s="263"/>
      <c r="G54" s="263"/>
      <c r="H54" s="263"/>
      <c r="I54" s="263"/>
      <c r="J54" s="263"/>
      <c r="K54" s="263"/>
      <c r="L54" s="265"/>
    </row>
    <row r="55" spans="2:34" ht="15.75" thickBot="1" x14ac:dyDescent="0.3">
      <c r="B55" s="40" t="s">
        <v>1</v>
      </c>
      <c r="C55" s="48">
        <v>2020</v>
      </c>
      <c r="D55" s="34">
        <v>2021</v>
      </c>
      <c r="E55" s="34">
        <v>2022</v>
      </c>
      <c r="F55" s="34">
        <v>2023</v>
      </c>
      <c r="G55" s="34">
        <v>2024</v>
      </c>
      <c r="H55" s="34">
        <v>2025</v>
      </c>
      <c r="I55" s="34">
        <v>2026</v>
      </c>
      <c r="J55" s="34">
        <v>2027</v>
      </c>
      <c r="K55" s="34">
        <v>2028</v>
      </c>
      <c r="L55" s="35">
        <v>2029</v>
      </c>
    </row>
    <row r="56" spans="2:34" x14ac:dyDescent="0.25">
      <c r="B56" s="41" t="s">
        <v>7</v>
      </c>
      <c r="C56" s="37">
        <f ca="1">OFFSET(PointsNoBACT!$A$5,MATCH(C$5,PointsNoBACT!$A$6:$A$15,0),MATCH("VOC",PointsNoBACT!$B$5:$H$5,0))</f>
        <v>3.8313242904623623E-2</v>
      </c>
      <c r="D56" s="32">
        <f ca="1">OFFSET(PointsNoBACT!$A$5,MATCH(D$5,PointsNoBACT!$A$6:$A$15,0),MATCH("VOC",PointsNoBACT!$B$5:$H$5,0))</f>
        <v>3.943235465060458E-2</v>
      </c>
      <c r="E56" s="32">
        <f ca="1">OFFSET(PointsNoBACT!$A$5,MATCH(E$5,PointsNoBACT!$A$6:$A$15,0),MATCH("VOC",PointsNoBACT!$B$5:$H$5,0))</f>
        <v>3.9923734585169623E-2</v>
      </c>
      <c r="F56" s="32">
        <f ca="1">OFFSET(PointsNoBACT!$A$5,MATCH(F$5,PointsNoBACT!$A$6:$A$15,0),MATCH("VOC",PointsNoBACT!$B$5:$H$5,0))</f>
        <v>4.0193578864974974E-2</v>
      </c>
      <c r="G56" s="32">
        <f ca="1">OFFSET(PointsNoBACT!$A$5,MATCH(G$5,PointsNoBACT!$A$6:$A$15,0),MATCH("VOC",PointsNoBACT!$B$5:$H$5,0))</f>
        <v>4.0473028077493756E-2</v>
      </c>
      <c r="H56" s="32">
        <f ca="1">OFFSET(PointsNoBACT!$A$5,MATCH(H$5,PointsNoBACT!$A$6:$A$15,0),MATCH("VOC",PointsNoBACT!$B$5:$H$5,0))</f>
        <v>4.0759200742912172E-2</v>
      </c>
      <c r="I56" s="32">
        <f ca="1">OFFSET(PointsNoBACT!$A$5,MATCH(I$5,PointsNoBACT!$A$6:$A$15,0),MATCH("VOC",PointsNoBACT!$B$5:$H$5,0))</f>
        <v>4.1034088080432844E-2</v>
      </c>
      <c r="J56" s="32">
        <f ca="1">OFFSET(PointsNoBACT!$A$5,MATCH(J$5,PointsNoBACT!$A$6:$A$15,0),MATCH("VOC",PointsNoBACT!$B$5:$H$5,0))</f>
        <v>4.1308975417953558E-2</v>
      </c>
      <c r="K56" s="32">
        <f ca="1">OFFSET(PointsNoBACT!$A$5,MATCH(K$5,PointsNoBACT!$A$6:$A$15,0),MATCH("VOC",PointsNoBACT!$B$5:$H$5,0))</f>
        <v>4.15838627554743E-2</v>
      </c>
      <c r="L56" s="33">
        <f ca="1">OFFSET(PointsNoBACT!$A$5,MATCH(L$5,PointsNoBACT!$A$6:$A$15,0),MATCH("VOC",PointsNoBACT!$B$5:$H$5,0))</f>
        <v>4.185875009299498E-2</v>
      </c>
      <c r="X56" s="39"/>
      <c r="Y56" s="271" t="s">
        <v>228</v>
      </c>
      <c r="Z56" s="272"/>
      <c r="AA56" s="272"/>
      <c r="AB56" s="272"/>
      <c r="AC56" s="272"/>
      <c r="AD56" s="272"/>
      <c r="AE56" s="272"/>
      <c r="AF56" s="272"/>
      <c r="AG56" s="272"/>
      <c r="AH56" s="273"/>
    </row>
    <row r="57" spans="2:34" ht="15.75" thickBot="1" x14ac:dyDescent="0.3">
      <c r="B57" s="42" t="s">
        <v>16</v>
      </c>
      <c r="C57" s="38" cm="1">
        <f t="array" aca="1" ref="C57" ca="1">INDIRECT("TabSpHt"&amp;C$43&amp;"!O69")</f>
        <v>6.6634000000000002</v>
      </c>
      <c r="D57" s="30" cm="1">
        <f t="array" aca="1" ref="D57" ca="1">INDIRECT("TabSpHt"&amp;D$43&amp;"!O69")</f>
        <v>6.5715000000000003</v>
      </c>
      <c r="E57" s="30" cm="1">
        <f t="array" aca="1" ref="E57" ca="1">INDIRECT("TabSpHt"&amp;E$43&amp;"!O69")</f>
        <v>7.1083999999999996</v>
      </c>
      <c r="F57" s="30" cm="1">
        <f t="array" aca="1" ref="F57" ca="1">INDIRECT("TabSpHt"&amp;F$43&amp;"!O69")</f>
        <v>7.8491</v>
      </c>
      <c r="G57" s="30" cm="1">
        <f t="array" aca="1" ref="G57" ca="1">INDIRECT("TabSpHt"&amp;G$43&amp;"!O69")</f>
        <v>8.0547000000000004</v>
      </c>
      <c r="H57" s="30" cm="1">
        <f t="array" aca="1" ref="H57" ca="1">INDIRECT("TabSpHt"&amp;H$43&amp;"!O69")</f>
        <v>8.1117000000000008</v>
      </c>
      <c r="I57" s="30" cm="1">
        <f t="array" aca="1" ref="I57" ca="1">INDIRECT("TabSpHt"&amp;I$43&amp;"!O69")</f>
        <v>8.0533000000000001</v>
      </c>
      <c r="J57" s="30" cm="1">
        <f t="array" aca="1" ref="J57" ca="1">INDIRECT("TabSpHt"&amp;J$43&amp;"!O69")</f>
        <v>8.0131999999999994</v>
      </c>
      <c r="K57" s="30" cm="1">
        <f t="array" aca="1" ref="K57" ca="1">INDIRECT("TabSpHt"&amp;K$43&amp;"!O69")</f>
        <v>8.0653000000000006</v>
      </c>
      <c r="L57" s="31" cm="1">
        <f t="array" aca="1" ref="L57" ca="1">INDIRECT("TabSpHt"&amp;L$43&amp;"!O69")</f>
        <v>8.1173000000000002</v>
      </c>
      <c r="X57" s="40" t="s">
        <v>1</v>
      </c>
      <c r="Y57" s="48">
        <v>2020</v>
      </c>
      <c r="Z57" s="34">
        <v>2021</v>
      </c>
      <c r="AA57" s="34">
        <v>2022</v>
      </c>
      <c r="AB57" s="34">
        <v>2023</v>
      </c>
      <c r="AC57" s="34">
        <v>2024</v>
      </c>
      <c r="AD57" s="34">
        <v>2025</v>
      </c>
      <c r="AE57" s="34">
        <v>2026</v>
      </c>
      <c r="AF57" s="34">
        <v>2027</v>
      </c>
      <c r="AG57" s="34">
        <v>2028</v>
      </c>
      <c r="AH57" s="35">
        <v>2029</v>
      </c>
    </row>
    <row r="58" spans="2:34" x14ac:dyDescent="0.25">
      <c r="B58" s="42" t="s">
        <v>17</v>
      </c>
      <c r="C58" s="38" cm="1">
        <f t="array" aca="1" ref="C58" ca="1">INDIRECT("'"&amp;C$23&amp;"NRARSummary'!E5")</f>
        <v>2.1197162912941954</v>
      </c>
      <c r="D58" s="38" cm="1">
        <f t="array" aca="1" ref="D58" ca="1">INDIRECT("'"&amp;D$23&amp;"NRARSummary'!E5")</f>
        <v>2.1477979876562117</v>
      </c>
      <c r="E58" s="38" cm="1">
        <f t="array" aca="1" ref="E58" ca="1">INDIRECT("'"&amp;E$23&amp;"NRARSummary'!E5")</f>
        <v>2.1834679878631675</v>
      </c>
      <c r="F58" s="38" cm="1">
        <f t="array" aca="1" ref="F58" ca="1">INDIRECT("'"&amp;F$23&amp;"NRARSummary'!E5")</f>
        <v>2.2155662713849837</v>
      </c>
      <c r="G58" s="38" cm="1">
        <f t="array" aca="1" ref="G58" ca="1">INDIRECT("'"&amp;G$23&amp;"NRARSummary'!E5")</f>
        <v>2.246738004114182</v>
      </c>
      <c r="H58" s="30" cm="1">
        <f t="array" aca="1" ref="H58" ca="1">INDIRECT("'"&amp;H$23&amp;"NRARSummary'!E5")</f>
        <v>2.2770691868810995</v>
      </c>
      <c r="I58" s="38" cm="1">
        <f t="array" aca="1" ref="I58" ca="1">INDIRECT("'"&amp;I$23&amp;"NRARSummary'!E5")</f>
        <v>2.3044356833085944</v>
      </c>
      <c r="J58" s="30" cm="1">
        <f t="array" aca="1" ref="J58" ca="1">INDIRECT("'"&amp;J$23&amp;"NRARSummary'!E5")</f>
        <v>2.3318021797360875</v>
      </c>
      <c r="K58" s="30" cm="1">
        <f t="array" aca="1" ref="K58" ca="1">INDIRECT("'"&amp;K$23&amp;"NRARSummary'!E5")</f>
        <v>2.3591686761635828</v>
      </c>
      <c r="L58" s="31" cm="1">
        <f t="array" aca="1" ref="L58" ca="1">INDIRECT("'"&amp;L$23&amp;"NRARSummary'!E5")</f>
        <v>2.3865351725910773</v>
      </c>
      <c r="X58" s="41" t="s">
        <v>7</v>
      </c>
      <c r="Y58" s="37">
        <f ca="1">OFFSET(PointsNoBACT!$A$5,MATCH(Y$5,PointsNoBACT!$A$6:$A$15,0),MATCH("NH3",PointsNoBACT!$B$5:$H$5,0))</f>
        <v>8.8391226532811992E-2</v>
      </c>
      <c r="Z58" s="32">
        <f ca="1">OFFSET(PointsNoBACT!$A$5,MATCH(Z$5,PointsNoBACT!$A$6:$A$15,0),MATCH("NH3",PointsNoBACT!$B$5:$H$5,0))</f>
        <v>9.0973092549760354E-2</v>
      </c>
      <c r="AA58" s="32">
        <f ca="1">OFFSET(PointsNoBACT!$A$5,MATCH(AA$5,PointsNoBACT!$A$6:$A$15,0),MATCH("NH3",PointsNoBACT!$B$5:$H$5,0))</f>
        <v>9.2106739085970793E-2</v>
      </c>
      <c r="AB58" s="32">
        <f ca="1">OFFSET(PointsNoBACT!$A$5,MATCH(AB$5,PointsNoBACT!$A$6:$A$15,0),MATCH("NH3",PointsNoBACT!$B$5:$H$5,0))</f>
        <v>9.2729287976552263E-2</v>
      </c>
      <c r="AC58" s="32">
        <f ca="1">OFFSET(PointsNoBACT!$A$5,MATCH(AC$5,PointsNoBACT!$A$6:$A$15,0),MATCH("NH3",PointsNoBACT!$B$5:$H$5,0))</f>
        <v>9.3373996092480899E-2</v>
      </c>
      <c r="AD58" s="32">
        <f ca="1">OFFSET(PointsNoBACT!$A$5,MATCH(AD$5,PointsNoBACT!$A$6:$A$15,0),MATCH("NH3",PointsNoBACT!$B$5:$H$5,0))</f>
        <v>9.4034215666153539E-2</v>
      </c>
      <c r="AE58" s="32">
        <f ca="1">OFFSET(PointsNoBACT!$A$5,MATCH(AE$5,PointsNoBACT!$A$6:$A$15,0),MATCH("NH3",PointsNoBACT!$B$5:$H$5,0))</f>
        <v>9.4668399229843964E-2</v>
      </c>
      <c r="AF58" s="32">
        <f ca="1">OFFSET(PointsNoBACT!$A$5,MATCH(AF$5,PointsNoBACT!$A$6:$A$15,0),MATCH("NH3",PointsNoBACT!$B$5:$H$5,0))</f>
        <v>9.5302582793534513E-2</v>
      </c>
      <c r="AG58" s="32">
        <f ca="1">OFFSET(PointsNoBACT!$A$5,MATCH(AG$5,PointsNoBACT!$A$6:$A$15,0),MATCH("NH3",PointsNoBACT!$B$5:$H$5,0))</f>
        <v>9.5936766357225103E-2</v>
      </c>
      <c r="AH58" s="33">
        <f ca="1">OFFSET(PointsNoBACT!$A$5,MATCH(AH$5,PointsNoBACT!$A$6:$A$15,0),MATCH("NH3",PointsNoBACT!$B$5:$H$5,0))</f>
        <v>9.65709499209155E-2</v>
      </c>
    </row>
    <row r="59" spans="2:34" x14ac:dyDescent="0.25">
      <c r="B59" s="42" t="s">
        <v>19</v>
      </c>
      <c r="C59" s="38">
        <f ca="1">OFFSET(OnRoad!$H$6,MATCH(C55,OnRoad!$A$7:$A$16,0),0)</f>
        <v>1.4241257024288914</v>
      </c>
      <c r="D59" s="38">
        <f ca="1">OFFSET(OnRoad!$H$6,MATCH(D55,OnRoad!$A$7:$A$16,0),0)</f>
        <v>1.350541962070898</v>
      </c>
      <c r="E59" s="38">
        <f ca="1">OFFSET(OnRoad!$H$6,MATCH(E55,OnRoad!$A$7:$A$16,0),0)</f>
        <v>1.3489197251653013</v>
      </c>
      <c r="F59" s="38">
        <f ca="1">OFFSET(OnRoad!$H$6,MATCH(F55,OnRoad!$A$7:$A$16,0),0)</f>
        <v>1.2915278315505767</v>
      </c>
      <c r="G59" s="38">
        <f ca="1">OFFSET(OnRoad!$H$6,MATCH(G55,OnRoad!$A$7:$A$16,0),0)</f>
        <v>1.2302331467505194</v>
      </c>
      <c r="H59" s="38">
        <f ca="1">OFFSET(OnRoad!$H$6,MATCH(H55,OnRoad!$A$7:$A$16,0),0)</f>
        <v>1.1833519177598342</v>
      </c>
      <c r="I59" s="38">
        <f ca="1">OFFSET(OnRoad!$H$6,MATCH(I55,OnRoad!$A$7:$A$16,0),0)</f>
        <v>1.1187834707814819</v>
      </c>
      <c r="J59" s="38">
        <f ca="1">OFFSET(OnRoad!$H$6,MATCH(J55,OnRoad!$A$7:$A$16,0),0)</f>
        <v>1.084811021296016</v>
      </c>
      <c r="K59" s="38">
        <f ca="1">OFFSET(OnRoad!$H$6,MATCH(K55,OnRoad!$A$7:$A$16,0),0)</f>
        <v>1.0601027145972552</v>
      </c>
      <c r="L59" s="31">
        <f ca="1">OFFSET(OnRoad!$H$6,MATCH(L55,OnRoad!$A$7:$A$16,0),0)</f>
        <v>1.0471356521869259</v>
      </c>
      <c r="X59" s="42" t="s">
        <v>16</v>
      </c>
      <c r="Y59" s="38" cm="1">
        <f t="array" aca="1" ref="Y59" ca="1">INDIRECT("TabSpHt"&amp;Y$57&amp;"!Q69")</f>
        <v>0.11650000000000001</v>
      </c>
      <c r="Z59" s="30" cm="1">
        <f t="array" aca="1" ref="Z59" ca="1">INDIRECT("TabSpHt"&amp;Z$57&amp;"!Q69")</f>
        <v>0.1157</v>
      </c>
      <c r="AA59" s="30" cm="1">
        <f t="array" aca="1" ref="AA59" ca="1">INDIRECT("TabSpHt"&amp;AA$57&amp;"!Q69")</f>
        <v>0.12189999999999999</v>
      </c>
      <c r="AB59" s="30" cm="1">
        <f t="array" aca="1" ref="AB59" ca="1">INDIRECT("TabSpHt"&amp;AB$57&amp;"!Q69")</f>
        <v>0.1303</v>
      </c>
      <c r="AC59" s="30" cm="1">
        <f t="array" aca="1" ref="AC59" ca="1">INDIRECT("TabSpHt"&amp;AC$57&amp;"!Q69")</f>
        <v>0.1328</v>
      </c>
      <c r="AD59" s="30" cm="1">
        <f t="array" aca="1" ref="AD59" ca="1">INDIRECT("TabSpHt"&amp;AD$57&amp;"!Q69")</f>
        <v>0.1336</v>
      </c>
      <c r="AE59" s="30" cm="1">
        <f t="array" aca="1" ref="AE59" ca="1">INDIRECT("TabSpHt"&amp;AE$57&amp;"!Q69")</f>
        <v>0.13300000000000001</v>
      </c>
      <c r="AF59" s="30" cm="1">
        <f t="array" aca="1" ref="AF59" ca="1">INDIRECT("TabSpHt"&amp;AF$57&amp;"!Q69")</f>
        <v>0.1326</v>
      </c>
      <c r="AG59" s="30" cm="1">
        <f t="array" aca="1" ref="AG59" ca="1">INDIRECT("TabSpHt"&amp;AG$57&amp;"!Q69")</f>
        <v>0.13320000000000001</v>
      </c>
      <c r="AH59" s="31" cm="1">
        <f t="array" aca="1" ref="AH59" ca="1">INDIRECT("TabSpHt"&amp;AH$57&amp;"!Q69")</f>
        <v>0.1338</v>
      </c>
    </row>
    <row r="60" spans="2:34" x14ac:dyDescent="0.25">
      <c r="B60" s="42" t="s">
        <v>173</v>
      </c>
      <c r="C60" s="102" cm="1">
        <f t="array" aca="1" ref="C60" ca="1">INDIRECT("'"&amp;C$55&amp;"NRARSummary'!E8")</f>
        <v>0.15486373885348079</v>
      </c>
      <c r="D60" s="30" cm="1">
        <f t="array" aca="1" ref="D60" ca="1">INDIRECT("'"&amp;D$55&amp;"NRARSummary'!E8")</f>
        <v>0.15639983223808507</v>
      </c>
      <c r="E60" s="103" cm="1">
        <f t="array" aca="1" ref="E60" ca="1">INDIRECT("'"&amp;E$55&amp;"NRARSummary'!E8")</f>
        <v>0.15795435874330466</v>
      </c>
      <c r="F60" s="103" cm="1">
        <f t="array" aca="1" ref="F60" ca="1">INDIRECT("'"&amp;F$55&amp;"NRARSummary'!E8")</f>
        <v>0.15952753956658688</v>
      </c>
      <c r="G60" s="103" cm="1">
        <f t="array" aca="1" ref="G60" ca="1">INDIRECT("'"&amp;G$55&amp;"NRARSummary'!E8")</f>
        <v>0.15952753956658688</v>
      </c>
      <c r="H60" s="103" cm="1">
        <f t="array" aca="1" ref="H60" ca="1">INDIRECT("'"&amp;H$55&amp;"NRARSummary'!E8")</f>
        <v>0.16273076226082797</v>
      </c>
      <c r="I60" s="103" cm="1">
        <f t="array" aca="1" ref="I60" ca="1">INDIRECT("'"&amp;I$55&amp;"NRARSummary'!E8")</f>
        <v>0.16436125992632034</v>
      </c>
      <c r="J60" s="103" cm="1">
        <f t="array" aca="1" ref="J60" ca="1">INDIRECT("'"&amp;J$55&amp;"NRARSummary'!E8")</f>
        <v>0.16601132356379883</v>
      </c>
      <c r="K60" s="103" cm="1">
        <f t="array" aca="1" ref="K60" ca="1">INDIRECT("'"&amp;K$55&amp;"NRARSummary'!E8")</f>
        <v>0.16768118796492687</v>
      </c>
      <c r="L60" s="104" cm="1">
        <f t="array" aca="1" ref="L60" ca="1">INDIRECT("'"&amp;L$55&amp;"NRARSummary'!E8")</f>
        <v>0.16937109073886852</v>
      </c>
      <c r="X60" s="42" t="s">
        <v>17</v>
      </c>
      <c r="Y60" s="38" cm="1">
        <f t="array" aca="1" ref="Y60" ca="1">INDIRECT("'"&amp;Y$57&amp;"NRARSummary'!K5")</f>
        <v>5.0813496792690559E-2</v>
      </c>
      <c r="Z60" s="38" cm="1">
        <f t="array" aca="1" ref="Z60" ca="1">INDIRECT("'"&amp;Z$57&amp;"NRARSummary'!K5")</f>
        <v>5.1486666685230005E-2</v>
      </c>
      <c r="AA60" s="38" cm="1">
        <f t="array" aca="1" ref="AA60" ca="1">INDIRECT("'"&amp;AA$57&amp;"NRARSummary'!K5")</f>
        <v>5.2341742172716504E-2</v>
      </c>
      <c r="AB60" s="38" cm="1">
        <f t="array" aca="1" ref="AB60" ca="1">INDIRECT("'"&amp;AB$57&amp;"NRARSummary'!K5")</f>
        <v>5.311119704433561E-2</v>
      </c>
      <c r="AC60" s="38" cm="1">
        <f t="array" aca="1" ref="AC60" ca="1">INDIRECT("'"&amp;AC$57&amp;"NRARSummary'!K5")</f>
        <v>5.3858440789908098E-2</v>
      </c>
      <c r="AD60" s="30" cm="1">
        <f t="array" aca="1" ref="AD60" ca="1">INDIRECT("'"&amp;AD$57&amp;"NRARSummary'!K5")</f>
        <v>5.4585535007457518E-2</v>
      </c>
      <c r="AE60" s="38" cm="1">
        <f t="array" aca="1" ref="AE60" ca="1">INDIRECT("'"&amp;AE$57&amp;"NRARSummary'!K5")</f>
        <v>5.5241560242606617E-2</v>
      </c>
      <c r="AF60" s="30" cm="1">
        <f t="array" aca="1" ref="AF60" ca="1">INDIRECT("'"&amp;AF$57&amp;"NRARSummary'!K5")</f>
        <v>5.5897585477755703E-2</v>
      </c>
      <c r="AG60" s="30" cm="1">
        <f t="array" aca="1" ref="AG60" ca="1">INDIRECT("'"&amp;AG$57&amp;"NRARSummary'!K5")</f>
        <v>5.6553610712904809E-2</v>
      </c>
      <c r="AH60" s="31" cm="1">
        <f t="array" aca="1" ref="AH60" ca="1">INDIRECT("'"&amp;AH$57&amp;"NRARSummary'!K5")</f>
        <v>5.7209635948053908E-2</v>
      </c>
    </row>
    <row r="61" spans="2:34" ht="15.75" thickBot="1" x14ac:dyDescent="0.3">
      <c r="B61" s="46" t="s">
        <v>18</v>
      </c>
      <c r="C61" s="69" cm="1">
        <f t="array" aca="1" ref="C61" ca="1">INDIRECT("'"&amp;C$55&amp;"NRARSummary'!E9")-INDIRECT("'"&amp;C$55&amp;"NRARSummary'!E8")</f>
        <v>2.6434842407890335</v>
      </c>
      <c r="D61" s="47" cm="1">
        <f t="array" aca="1" ref="D61" ca="1">INDIRECT("'"&amp;D$55&amp;"NRARSummary'!E9")-INDIRECT("'"&amp;D$55&amp;"NRARSummary'!E8")</f>
        <v>2.5833790452924017</v>
      </c>
      <c r="E61" s="47" cm="1">
        <f t="array" aca="1" ref="E61" ca="1">INDIRECT("'"&amp;E$55&amp;"NRARSummary'!E9")-INDIRECT("'"&amp;E$55&amp;"NRARSummary'!E8")</f>
        <v>2.5134567620914625</v>
      </c>
      <c r="F61" s="47" cm="1">
        <f t="array" aca="1" ref="F61" ca="1">INDIRECT("'"&amp;F$55&amp;"NRARSummary'!E9")-INDIRECT("'"&amp;F$55&amp;"NRARSummary'!E8")</f>
        <v>2.4398652493455488</v>
      </c>
      <c r="G61" s="47" cm="1">
        <f t="array" aca="1" ref="G61" ca="1">INDIRECT("'"&amp;G$55&amp;"NRARSummary'!E9")-INDIRECT("'"&amp;G$55&amp;"NRARSummary'!E8")</f>
        <v>2.3494002608237357</v>
      </c>
      <c r="H61" s="47" cm="1">
        <f t="array" aca="1" ref="H61" ca="1">INDIRECT("'"&amp;H$55&amp;"NRARSummary'!E9")-INDIRECT("'"&amp;H$55&amp;"NRARSummary'!E8")</f>
        <v>2.2457647420312843</v>
      </c>
      <c r="I61" s="47" cm="1">
        <f t="array" aca="1" ref="I61" ca="1">INDIRECT("'"&amp;I$55&amp;"NRARSummary'!E9")-INDIRECT("'"&amp;I$55&amp;"NRARSummary'!E8")</f>
        <v>2.2243681066634955</v>
      </c>
      <c r="J61" s="47" cm="1">
        <f t="array" aca="1" ref="J61" ca="1">INDIRECT("'"&amp;J$55&amp;"NRARSummary'!E9")-INDIRECT("'"&amp;J$55&amp;"NRARSummary'!E8")</f>
        <v>2.2178396499350055</v>
      </c>
      <c r="K61" s="47" cm="1">
        <f t="array" aca="1" ref="K61" ca="1">INDIRECT("'"&amp;K$55&amp;"NRARSummary'!E9")-INDIRECT("'"&amp;K$55&amp;"NRARSummary'!E8")</f>
        <v>2.2553158257917421</v>
      </c>
      <c r="L61" s="58" cm="1">
        <f t="array" aca="1" ref="L61" ca="1">INDIRECT("'"&amp;L$55&amp;"NRARSummary'!E9")-INDIRECT("'"&amp;L$55&amp;"NRARSummary'!E8")</f>
        <v>2.1891206805238692</v>
      </c>
      <c r="X61" s="42" t="s">
        <v>19</v>
      </c>
      <c r="Y61" s="38">
        <f ca="1">OFFSET(OnRoad!$U$6,MATCH(Y57,OnRoad!$A$7:$A$16,0),0)</f>
        <v>6.2447704664889095E-2</v>
      </c>
      <c r="Z61" s="38">
        <f ca="1">OFFSET(OnRoad!$U$6,MATCH(Z57,OnRoad!$A$7:$A$16,0),0)</f>
        <v>6.3870426466784966E-2</v>
      </c>
      <c r="AA61" s="38">
        <f ca="1">OFFSET(OnRoad!$U$6,MATCH(AA57,OnRoad!$A$7:$A$16,0),0)</f>
        <v>6.5543388346349651E-2</v>
      </c>
      <c r="AB61" s="38">
        <f ca="1">OFFSET(OnRoad!$U$6,MATCH(AB57,OnRoad!$A$7:$A$16,0),0)</f>
        <v>6.4280932026828122E-2</v>
      </c>
      <c r="AC61" s="38">
        <f ca="1">OFFSET(OnRoad!$U$6,MATCH(AC57,OnRoad!$A$7:$A$16,0),0)</f>
        <v>6.3289819648467693E-2</v>
      </c>
      <c r="AD61" s="38">
        <f ca="1">OFFSET(OnRoad!$U$6,MATCH(AD57,OnRoad!$A$7:$A$16,0),0)</f>
        <v>6.2312955030053067E-2</v>
      </c>
      <c r="AE61" s="38">
        <f ca="1">OFFSET(OnRoad!$U$6,MATCH(AE57,OnRoad!$A$7:$A$16,0),0)</f>
        <v>5.9982461763952895E-2</v>
      </c>
      <c r="AF61" s="38">
        <f ca="1">OFFSET(OnRoad!$U$6,MATCH(AF57,OnRoad!$A$7:$A$16,0),0)</f>
        <v>5.9506772794328505E-2</v>
      </c>
      <c r="AG61" s="38">
        <f ca="1">OFFSET(OnRoad!$U$6,MATCH(AG57,OnRoad!$A$7:$A$16,0),0)</f>
        <v>5.936945971482973E-2</v>
      </c>
      <c r="AH61" s="31">
        <f ca="1">OFFSET(OnRoad!$U$6,MATCH(AH57,OnRoad!$A$7:$A$16,0),0)</f>
        <v>5.9700016597197245E-2</v>
      </c>
    </row>
    <row r="62" spans="2:34" ht="15.75" thickBot="1" x14ac:dyDescent="0.3">
      <c r="B62" s="43" t="s">
        <v>10</v>
      </c>
      <c r="C62" s="50">
        <f ca="1">SUM(C56:C61)</f>
        <v>13.043903216270227</v>
      </c>
      <c r="D62" s="44">
        <f t="shared" ref="D62:L62" ca="1" si="124">SUM(D56:D61)</f>
        <v>12.8490511819082</v>
      </c>
      <c r="E62" s="44">
        <f t="shared" ca="1" si="124"/>
        <v>13.352122568448404</v>
      </c>
      <c r="F62" s="44">
        <f t="shared" ca="1" si="124"/>
        <v>13.995780470712671</v>
      </c>
      <c r="G62" s="44">
        <f t="shared" ca="1" si="124"/>
        <v>14.081071979332519</v>
      </c>
      <c r="H62" s="44">
        <f t="shared" ca="1" si="124"/>
        <v>14.021375809675959</v>
      </c>
      <c r="I62" s="44">
        <f t="shared" ca="1" si="124"/>
        <v>13.906282608760325</v>
      </c>
      <c r="J62" s="44">
        <f t="shared" ca="1" si="124"/>
        <v>13.85497314994886</v>
      </c>
      <c r="K62" s="44">
        <f t="shared" ca="1" si="124"/>
        <v>13.94915226727298</v>
      </c>
      <c r="L62" s="45">
        <f t="shared" ca="1" si="124"/>
        <v>13.951321346133737</v>
      </c>
      <c r="X62" s="42" t="s">
        <v>173</v>
      </c>
      <c r="Y62" s="102" cm="1">
        <f t="array" aca="1" ref="Y62" ca="1">INDIRECT("'"&amp;Y$57&amp;"NRARSummary'!K8")</f>
        <v>0</v>
      </c>
      <c r="Z62" s="30" cm="1">
        <f t="array" aca="1" ref="Z62" ca="1">INDIRECT("'"&amp;Z$57&amp;"NRARSummary'!K8")</f>
        <v>0</v>
      </c>
      <c r="AA62" s="103" cm="1">
        <f t="array" aca="1" ref="AA62" ca="1">INDIRECT("'"&amp;AA$57&amp;"NRARSummary'!K8")</f>
        <v>0</v>
      </c>
      <c r="AB62" s="103" cm="1">
        <f t="array" aca="1" ref="AB62" ca="1">INDIRECT("'"&amp;AB$57&amp;"NRARSummary'!K8")</f>
        <v>0</v>
      </c>
      <c r="AC62" s="103" cm="1">
        <f t="array" aca="1" ref="AC62" ca="1">INDIRECT("'"&amp;AC$57&amp;"NRARSummary'!K8")</f>
        <v>0</v>
      </c>
      <c r="AD62" s="103" cm="1">
        <f t="array" aca="1" ref="AD62" ca="1">INDIRECT("'"&amp;AD$57&amp;"NRARSummary'!K8")</f>
        <v>0</v>
      </c>
      <c r="AE62" s="103" cm="1">
        <f t="array" aca="1" ref="AE62" ca="1">INDIRECT("'"&amp;AE$57&amp;"NRARSummary'!K8")</f>
        <v>0</v>
      </c>
      <c r="AF62" s="103" cm="1">
        <f t="array" aca="1" ref="AF62" ca="1">INDIRECT("'"&amp;AF$57&amp;"NRARSummary'!K8")</f>
        <v>0</v>
      </c>
      <c r="AG62" s="103" cm="1">
        <f t="array" aca="1" ref="AG62" ca="1">INDIRECT("'"&amp;AG$57&amp;"NRARSummary'!K8")</f>
        <v>0</v>
      </c>
      <c r="AH62" s="104" cm="1">
        <f t="array" aca="1" ref="AH62" ca="1">INDIRECT("'"&amp;AH$57&amp;"NRARSummary'!K8")</f>
        <v>0</v>
      </c>
    </row>
    <row r="63" spans="2:34" ht="15.75" thickBot="1" x14ac:dyDescent="0.3">
      <c r="B63" s="51" t="s">
        <v>93</v>
      </c>
      <c r="C63" s="55"/>
      <c r="D63" s="56">
        <f t="shared" ref="D63" ca="1" si="125">-(D62-C62)</f>
        <v>0.19485203436202703</v>
      </c>
      <c r="E63" s="56">
        <f t="shared" ref="E63" ca="1" si="126">-(E62-D62)</f>
        <v>-0.50307138654020456</v>
      </c>
      <c r="F63" s="56">
        <f t="shared" ref="F63" ca="1" si="127">-(F62-E62)</f>
        <v>-0.64365790226426611</v>
      </c>
      <c r="G63" s="56">
        <f t="shared" ref="G63" ca="1" si="128">-(G62-F62)</f>
        <v>-8.5291508619848244E-2</v>
      </c>
      <c r="H63" s="56">
        <f t="shared" ref="H63" ca="1" si="129">-(H62-G62)</f>
        <v>5.9696169656559661E-2</v>
      </c>
      <c r="I63" s="56">
        <f t="shared" ref="I63" ca="1" si="130">-(I62-H62)</f>
        <v>0.11509320091563424</v>
      </c>
      <c r="J63" s="56">
        <f t="shared" ref="J63" ca="1" si="131">-(J62-I62)</f>
        <v>5.1309458811465092E-2</v>
      </c>
      <c r="K63" s="56">
        <f t="shared" ref="K63" ca="1" si="132">-(K62-J62)</f>
        <v>-9.4179117324120654E-2</v>
      </c>
      <c r="L63" s="57">
        <f t="shared" ref="L63" ca="1" si="133">-(L62-K62)</f>
        <v>-2.1690788607564571E-3</v>
      </c>
      <c r="X63" s="46" t="s">
        <v>18</v>
      </c>
      <c r="Y63" s="69" cm="1">
        <f t="array" aca="1" ref="Y63" ca="1">INDIRECT("'"&amp;Y$57&amp;"NRARSummary'!K9")-INDIRECT("'"&amp;Y$57&amp;"NRARSummary'!K8")</f>
        <v>2.269385962905397E-3</v>
      </c>
      <c r="Z63" s="47" cm="1">
        <f t="array" aca="1" ref="Z63" ca="1">INDIRECT("'"&amp;Z$57&amp;"NRARSummary'!K9")-INDIRECT("'"&amp;Z$57&amp;"NRARSummary'!K8")</f>
        <v>2.2939909039180343E-3</v>
      </c>
      <c r="AA63" s="47" cm="1">
        <f t="array" aca="1" ref="AA63" ca="1">INDIRECT("'"&amp;AA$57&amp;"NRARSummary'!K9")-INDIRECT("'"&amp;AA$57&amp;"NRARSummary'!K8")</f>
        <v>2.310094549534679E-3</v>
      </c>
      <c r="AB63" s="47" cm="1">
        <f t="array" aca="1" ref="AB63" ca="1">INDIRECT("'"&amp;AB$57&amp;"NRARSummary'!K9")-INDIRECT("'"&amp;AB$57&amp;"NRARSummary'!K8")</f>
        <v>2.319629567473243E-3</v>
      </c>
      <c r="AC63" s="47" cm="1">
        <f t="array" aca="1" ref="AC63" ca="1">INDIRECT("'"&amp;AC$57&amp;"NRARSummary'!K9")-INDIRECT("'"&amp;AC$57&amp;"NRARSummary'!K8")</f>
        <v>2.3053066285272867E-3</v>
      </c>
      <c r="AD63" s="47" cm="1">
        <f t="array" aca="1" ref="AD63" ca="1">INDIRECT("'"&amp;AD$57&amp;"NRARSummary'!K9")-INDIRECT("'"&amp;AD$57&amp;"NRARSummary'!K8")</f>
        <v>2.2624210223926838E-3</v>
      </c>
      <c r="AE63" s="47" cm="1">
        <f t="array" aca="1" ref="AE63" ca="1">INDIRECT("'"&amp;AE$57&amp;"NRARSummary'!K9")-INDIRECT("'"&amp;AE$57&amp;"NRARSummary'!K8")</f>
        <v>2.2796526513972461E-3</v>
      </c>
      <c r="AF63" s="47" cm="1">
        <f t="array" aca="1" ref="AF63" ca="1">INDIRECT("'"&amp;AF$57&amp;"NRARSummary'!K9")-INDIRECT("'"&amp;AF$57&amp;"NRARSummary'!K8")</f>
        <v>2.2994584282441865E-3</v>
      </c>
      <c r="AG63" s="47" cm="1">
        <f t="array" aca="1" ref="AG63" ca="1">INDIRECT("'"&amp;AG$57&amp;"NRARSummary'!K9")-INDIRECT("'"&amp;AG$57&amp;"NRARSummary'!K8")</f>
        <v>2.3512465481892774E-3</v>
      </c>
      <c r="AH63" s="58" cm="1">
        <f t="array" aca="1" ref="AH63" ca="1">INDIRECT("'"&amp;AH$57&amp;"NRARSummary'!K9")-INDIRECT("'"&amp;AH$57&amp;"NRARSummary'!K8")</f>
        <v>2.311400527034668E-3</v>
      </c>
    </row>
    <row r="64" spans="2:34" ht="15.75" thickBot="1" x14ac:dyDescent="0.3">
      <c r="B64" s="51" t="s">
        <v>223</v>
      </c>
      <c r="C64" s="74"/>
      <c r="D64" s="75">
        <f t="shared" ref="D64:L64" ca="1" si="134">1-D62/$C62</f>
        <v>1.4938169283484126E-2</v>
      </c>
      <c r="E64" s="75">
        <f t="shared" ca="1" si="134"/>
        <v>-2.3629380490474805E-2</v>
      </c>
      <c r="F64" s="75">
        <f t="shared" ca="1" si="134"/>
        <v>-7.2974878658646158E-2</v>
      </c>
      <c r="G64" s="75">
        <f t="shared" ca="1" si="134"/>
        <v>-7.9513681285873661E-2</v>
      </c>
      <c r="H64" s="75">
        <f t="shared" ca="1" si="134"/>
        <v>-7.49371240493788E-2</v>
      </c>
      <c r="I64" s="75">
        <f t="shared" ca="1" si="134"/>
        <v>-6.6113599448853311E-2</v>
      </c>
      <c r="J64" s="75">
        <f t="shared" ca="1" si="134"/>
        <v>-6.2180002429560455E-2</v>
      </c>
      <c r="K64" s="75">
        <f t="shared" ca="1" si="134"/>
        <v>-6.9400166192094881E-2</v>
      </c>
      <c r="L64" s="76">
        <f t="shared" ca="1" si="134"/>
        <v>-6.9566456820351785E-2</v>
      </c>
      <c r="X64" s="43" t="s">
        <v>10</v>
      </c>
      <c r="Y64" s="50">
        <f ca="1">SUM(Y58:Y63)</f>
        <v>0.320421813953297</v>
      </c>
      <c r="Z64" s="44">
        <f t="shared" ref="Z64:AH64" ca="1" si="135">SUM(Z58:Z63)</f>
        <v>0.32432417660569335</v>
      </c>
      <c r="AA64" s="44">
        <f t="shared" ca="1" si="135"/>
        <v>0.3342019641545716</v>
      </c>
      <c r="AB64" s="44">
        <f t="shared" ca="1" si="135"/>
        <v>0.34274104661518917</v>
      </c>
      <c r="AC64" s="44">
        <f t="shared" ca="1" si="135"/>
        <v>0.34562756315938398</v>
      </c>
      <c r="AD64" s="44">
        <f t="shared" ca="1" si="135"/>
        <v>0.34679512672605678</v>
      </c>
      <c r="AE64" s="44">
        <f t="shared" ca="1" si="135"/>
        <v>0.34517207388780069</v>
      </c>
      <c r="AF64" s="44">
        <f t="shared" ca="1" si="135"/>
        <v>0.34560639949386296</v>
      </c>
      <c r="AG64" s="44">
        <f t="shared" ca="1" si="135"/>
        <v>0.34741108333314896</v>
      </c>
      <c r="AH64" s="45">
        <f t="shared" ca="1" si="135"/>
        <v>0.34959200299320131</v>
      </c>
    </row>
    <row r="65" spans="1:34" ht="15.75" thickBot="1" x14ac:dyDescent="0.3">
      <c r="X65" s="51" t="s">
        <v>93</v>
      </c>
      <c r="Y65" s="55"/>
      <c r="Z65" s="56">
        <f t="shared" ref="Z65" ca="1" si="136">-(Z64-Y64)</f>
        <v>-3.9023626523963517E-3</v>
      </c>
      <c r="AA65" s="56">
        <f t="shared" ref="AA65" ca="1" si="137">-(AA64-Z64)</f>
        <v>-9.8777875488782474E-3</v>
      </c>
      <c r="AB65" s="56">
        <f t="shared" ref="AB65" ca="1" si="138">-(AB64-AA64)</f>
        <v>-8.5390824606175753E-3</v>
      </c>
      <c r="AC65" s="56">
        <f t="shared" ref="AC65" ca="1" si="139">-(AC64-AB64)</f>
        <v>-2.886516544194806E-3</v>
      </c>
      <c r="AD65" s="56">
        <f t="shared" ref="AD65" ca="1" si="140">-(AD64-AC64)</f>
        <v>-1.1675635666728024E-3</v>
      </c>
      <c r="AE65" s="56">
        <f t="shared" ref="AE65" ca="1" si="141">-(AE64-AD64)</f>
        <v>1.6230528382560894E-3</v>
      </c>
      <c r="AF65" s="56">
        <f t="shared" ref="AF65" ca="1" si="142">-(AF64-AE64)</f>
        <v>-4.3432560606226911E-4</v>
      </c>
      <c r="AG65" s="56">
        <f t="shared" ref="AG65" ca="1" si="143">-(AG64-AF64)</f>
        <v>-1.8046838392860032E-3</v>
      </c>
      <c r="AH65" s="57">
        <f t="shared" ref="AH65" ca="1" si="144">-(AH64-AG64)</f>
        <v>-2.1809196600523495E-3</v>
      </c>
    </row>
    <row r="66" spans="1:34" ht="15.75" thickBot="1" x14ac:dyDescent="0.3">
      <c r="B66" s="39"/>
      <c r="C66" s="266" t="s">
        <v>145</v>
      </c>
      <c r="D66" s="263"/>
      <c r="E66" s="263"/>
      <c r="F66" s="263"/>
      <c r="G66" s="263"/>
      <c r="H66" s="263"/>
      <c r="I66" s="263"/>
      <c r="J66" s="263"/>
      <c r="K66" s="263"/>
      <c r="L66" s="265"/>
      <c r="X66" s="51" t="s">
        <v>223</v>
      </c>
      <c r="Y66" s="74"/>
      <c r="Z66" s="75">
        <f t="shared" ref="Z66:AH66" ca="1" si="145">1-Z64/$Y64</f>
        <v>-1.2178829538007419E-2</v>
      </c>
      <c r="AA66" s="75">
        <f t="shared" ca="1" si="145"/>
        <v>-4.3006279851106166E-2</v>
      </c>
      <c r="AB66" s="75">
        <f t="shared" ca="1" si="145"/>
        <v>-6.9655784000852483E-2</v>
      </c>
      <c r="AC66" s="75">
        <f t="shared" ca="1" si="145"/>
        <v>-7.8664273493442183E-2</v>
      </c>
      <c r="AD66" s="75">
        <f t="shared" ca="1" si="145"/>
        <v>-8.2308106453088836E-2</v>
      </c>
      <c r="AE66" s="75">
        <f t="shared" ca="1" si="145"/>
        <v>-7.7242743336167319E-2</v>
      </c>
      <c r="AF66" s="75">
        <f t="shared" ca="1" si="145"/>
        <v>-7.8598224102921721E-2</v>
      </c>
      <c r="AG66" s="75">
        <f t="shared" ca="1" si="145"/>
        <v>-8.4230436894617178E-2</v>
      </c>
      <c r="AH66" s="76">
        <f t="shared" ca="1" si="145"/>
        <v>-9.1036838846920709E-2</v>
      </c>
    </row>
    <row r="67" spans="1:34" ht="15.75" thickBot="1" x14ac:dyDescent="0.3">
      <c r="B67" s="40" t="s">
        <v>1</v>
      </c>
      <c r="C67" s="48">
        <v>2020</v>
      </c>
      <c r="D67" s="34">
        <v>2021</v>
      </c>
      <c r="E67" s="34">
        <v>2022</v>
      </c>
      <c r="F67" s="34">
        <v>2023</v>
      </c>
      <c r="G67" s="34">
        <v>2024</v>
      </c>
      <c r="H67" s="34">
        <v>2025</v>
      </c>
      <c r="I67" s="34">
        <v>2026</v>
      </c>
      <c r="J67" s="34">
        <v>2027</v>
      </c>
      <c r="K67" s="34">
        <v>2028</v>
      </c>
      <c r="L67" s="35">
        <v>2029</v>
      </c>
    </row>
    <row r="68" spans="1:34" x14ac:dyDescent="0.25">
      <c r="B68" s="41" t="s">
        <v>7</v>
      </c>
      <c r="C68" s="37">
        <f ca="1">OFFSET(PointsNoBACT!$A$5,MATCH(C$5,PointsNoBACT!$A$6:$A$15,0),MATCH("NH3",PointsNoBACT!$B$5:$H$5,0))</f>
        <v>8.8391226532811992E-2</v>
      </c>
      <c r="D68" s="32">
        <f ca="1">OFFSET(PointsNoBACT!$A$5,MATCH(D$5,PointsNoBACT!$A$6:$A$15,0),MATCH("NH3",PointsNoBACT!$B$5:$H$5,0))</f>
        <v>9.0973092549760354E-2</v>
      </c>
      <c r="E68" s="32">
        <f ca="1">OFFSET(PointsNoBACT!$A$5,MATCH(E$5,PointsNoBACT!$A$6:$A$15,0),MATCH("NH3",PointsNoBACT!$B$5:$H$5,0))</f>
        <v>9.2106739085970793E-2</v>
      </c>
      <c r="F68" s="32">
        <f ca="1">OFFSET(PointsNoBACT!$A$5,MATCH(F$5,PointsNoBACT!$A$6:$A$15,0),MATCH("NH3",PointsNoBACT!$B$5:$H$5,0))</f>
        <v>9.2729287976552263E-2</v>
      </c>
      <c r="G68" s="32">
        <f ca="1">OFFSET(PointsNoBACT!$A$5,MATCH(G$5,PointsNoBACT!$A$6:$A$15,0),MATCH("NH3",PointsNoBACT!$B$5:$H$5,0))</f>
        <v>9.3373996092480899E-2</v>
      </c>
      <c r="H68" s="32">
        <f ca="1">OFFSET(PointsNoBACT!$A$5,MATCH(H$5,PointsNoBACT!$A$6:$A$15,0),MATCH("NH3",PointsNoBACT!$B$5:$H$5,0))</f>
        <v>9.4034215666153539E-2</v>
      </c>
      <c r="I68" s="32">
        <f ca="1">OFFSET(PointsNoBACT!$A$5,MATCH(I$5,PointsNoBACT!$A$6:$A$15,0),MATCH("NH3",PointsNoBACT!$B$5:$H$5,0))</f>
        <v>9.4668399229843964E-2</v>
      </c>
      <c r="J68" s="32">
        <f ca="1">OFFSET(PointsNoBACT!$A$5,MATCH(J$5,PointsNoBACT!$A$6:$A$15,0),MATCH("NH3",PointsNoBACT!$B$5:$H$5,0))</f>
        <v>9.5302582793534513E-2</v>
      </c>
      <c r="K68" s="32">
        <f ca="1">OFFSET(PointsNoBACT!$A$5,MATCH(K$5,PointsNoBACT!$A$6:$A$15,0),MATCH("NH3",PointsNoBACT!$B$5:$H$5,0))</f>
        <v>9.5936766357225103E-2</v>
      </c>
      <c r="L68" s="33">
        <f ca="1">OFFSET(PointsNoBACT!$A$5,MATCH(L$5,PointsNoBACT!$A$6:$A$15,0),MATCH("NH3",PointsNoBACT!$B$5:$H$5,0))</f>
        <v>9.65709499209155E-2</v>
      </c>
    </row>
    <row r="69" spans="1:34" x14ac:dyDescent="0.25">
      <c r="B69" s="42" t="s">
        <v>16</v>
      </c>
      <c r="C69" s="38" cm="1">
        <f t="array" aca="1" ref="C69" ca="1">INDIRECT("TabSpHt"&amp;C$43&amp;"!J69")</f>
        <v>0.1089</v>
      </c>
      <c r="D69" s="30" cm="1">
        <f t="array" aca="1" ref="D69" ca="1">INDIRECT("TabSpHt"&amp;D$43&amp;"!J69")</f>
        <v>0.1081</v>
      </c>
      <c r="E69" s="30" cm="1">
        <f t="array" aca="1" ref="E69" ca="1">INDIRECT("TabSpHt"&amp;E$43&amp;"!J69")</f>
        <v>0.1137</v>
      </c>
      <c r="F69" s="30" cm="1">
        <f t="array" aca="1" ref="F69" ca="1">INDIRECT("TabSpHt"&amp;F$43&amp;"!J69")</f>
        <v>0.12139999999999999</v>
      </c>
      <c r="G69" s="30" cm="1">
        <f t="array" aca="1" ref="G69" ca="1">INDIRECT("TabSpHt"&amp;G$43&amp;"!J69")</f>
        <v>0.1236</v>
      </c>
      <c r="H69" s="30" cm="1">
        <f t="array" aca="1" ref="H69" ca="1">INDIRECT("TabSpHt"&amp;H$43&amp;"!J69")</f>
        <v>0.12429999999999999</v>
      </c>
      <c r="I69" s="30" cm="1">
        <f t="array" aca="1" ref="I69" ca="1">INDIRECT("TabSpHt"&amp;I$43&amp;"!J69")</f>
        <v>0.12379999999999999</v>
      </c>
      <c r="J69" s="30" cm="1">
        <f t="array" aca="1" ref="J69" ca="1">INDIRECT("TabSpHt"&amp;J$43&amp;"!J69")</f>
        <v>0.1235</v>
      </c>
      <c r="K69" s="30" cm="1">
        <f t="array" aca="1" ref="K69" ca="1">INDIRECT("TabSpHt"&amp;K$43&amp;"!J69")</f>
        <v>0.124</v>
      </c>
      <c r="L69" s="31" cm="1">
        <f t="array" aca="1" ref="L69" ca="1">INDIRECT("TabSpHt"&amp;L$43&amp;"!J69")</f>
        <v>0.1246</v>
      </c>
    </row>
    <row r="70" spans="1:34" x14ac:dyDescent="0.25">
      <c r="B70" s="42" t="s">
        <v>17</v>
      </c>
      <c r="C70" s="38" cm="1">
        <f t="array" aca="1" ref="C70" ca="1">INDIRECT("'"&amp;C$23&amp;"NRARSummary'!F5")</f>
        <v>4.6772548933228297E-2</v>
      </c>
      <c r="D70" s="38" cm="1">
        <f t="array" aca="1" ref="D70" ca="1">INDIRECT("'"&amp;D$23&amp;"NRARSummary'!F5")</f>
        <v>4.7392184930090189E-2</v>
      </c>
      <c r="E70" s="38" cm="1">
        <f t="array" aca="1" ref="E70" ca="1">INDIRECT("'"&amp;E$23&amp;"NRARSummary'!F5")</f>
        <v>4.8179260463254825E-2</v>
      </c>
      <c r="F70" s="38" cm="1">
        <f t="array" aca="1" ref="F70" ca="1">INDIRECT("'"&amp;F$23&amp;"NRARSummary'!F5")</f>
        <v>4.8887524367656941E-2</v>
      </c>
      <c r="G70" s="38" cm="1">
        <f t="array" aca="1" ref="G70" ca="1">INDIRECT("'"&amp;G$23&amp;"NRARSummary'!F5")</f>
        <v>4.9575343487790101E-2</v>
      </c>
      <c r="H70" s="30" cm="1">
        <f t="array" aca="1" ref="H70" ca="1">INDIRECT("'"&amp;H$23&amp;"NRARSummary'!F5")</f>
        <v>5.0244615472911383E-2</v>
      </c>
      <c r="I70" s="38" cm="1">
        <f t="array" aca="1" ref="I70" ca="1">INDIRECT("'"&amp;I$23&amp;"NRARSummary'!F5")</f>
        <v>5.0848470242789323E-2</v>
      </c>
      <c r="J70" s="30" cm="1">
        <f t="array" aca="1" ref="J70" ca="1">INDIRECT("'"&amp;J$23&amp;"NRARSummary'!F5")</f>
        <v>5.1452325012667263E-2</v>
      </c>
      <c r="K70" s="30" cm="1">
        <f t="array" aca="1" ref="K70" ca="1">INDIRECT("'"&amp;K$23&amp;"NRARSummary'!F5")</f>
        <v>5.205617978254521E-2</v>
      </c>
      <c r="L70" s="31" cm="1">
        <f t="array" aca="1" ref="L70" ca="1">INDIRECT("'"&amp;L$23&amp;"NRARSummary'!F5")</f>
        <v>5.2660034552423157E-2</v>
      </c>
    </row>
    <row r="71" spans="1:34" x14ac:dyDescent="0.25">
      <c r="B71" s="42" t="s">
        <v>19</v>
      </c>
      <c r="C71" s="38">
        <f ca="1">OFFSET(OnRoad!$I$6,MATCH(C67,OnRoad!$A$7:$A$16,0),0)</f>
        <v>3.9756334910650407E-2</v>
      </c>
      <c r="D71" s="38">
        <f ca="1">OFFSET(OnRoad!$I$6,MATCH(D67,OnRoad!$A$7:$A$16,0),0)</f>
        <v>4.0673160371843625E-2</v>
      </c>
      <c r="E71" s="38">
        <f ca="1">OFFSET(OnRoad!$I$6,MATCH(E67,OnRoad!$A$7:$A$16,0),0)</f>
        <v>4.1738206109658969E-2</v>
      </c>
      <c r="F71" s="38">
        <f ca="1">OFFSET(OnRoad!$I$6,MATCH(F67,OnRoad!$A$7:$A$16,0),0)</f>
        <v>4.0965641784397572E-2</v>
      </c>
      <c r="G71" s="38">
        <f ca="1">OFFSET(OnRoad!$I$6,MATCH(G67,OnRoad!$A$7:$A$16,0),0)</f>
        <v>4.0362905818191928E-2</v>
      </c>
      <c r="H71" s="38">
        <f ca="1">OFFSET(OnRoad!$I$6,MATCH(H67,OnRoad!$A$7:$A$16,0),0)</f>
        <v>3.9768697234401268E-2</v>
      </c>
      <c r="I71" s="38">
        <f ca="1">OFFSET(OnRoad!$I$6,MATCH(I67,OnRoad!$A$7:$A$16,0),0)</f>
        <v>3.832236434362768E-2</v>
      </c>
      <c r="J71" s="38">
        <f ca="1">OFFSET(OnRoad!$I$6,MATCH(J67,OnRoad!$A$7:$A$16,0),0)</f>
        <v>3.804129679267361E-2</v>
      </c>
      <c r="K71" s="38">
        <f ca="1">OFFSET(OnRoad!$I$6,MATCH(K67,OnRoad!$A$7:$A$16,0),0)</f>
        <v>3.7971611391623021E-2</v>
      </c>
      <c r="L71" s="31">
        <f ca="1">OFFSET(OnRoad!$I$6,MATCH(L67,OnRoad!$A$7:$A$16,0),0)</f>
        <v>3.8196619282224148E-2</v>
      </c>
    </row>
    <row r="72" spans="1:34" x14ac:dyDescent="0.25">
      <c r="B72" s="42" t="s">
        <v>173</v>
      </c>
      <c r="C72" s="102" cm="1">
        <f t="array" aca="1" ref="C72" ca="1">INDIRECT("'"&amp;C$67&amp;"NRARSummary'!F8")</f>
        <v>0</v>
      </c>
      <c r="D72" s="30" cm="1">
        <f t="array" aca="1" ref="D72" ca="1">INDIRECT("'"&amp;D$67&amp;"NRARSummary'!F8")</f>
        <v>0</v>
      </c>
      <c r="E72" s="103" cm="1">
        <f t="array" aca="1" ref="E72" ca="1">INDIRECT("'"&amp;E$67&amp;"NRARSummary'!F8")</f>
        <v>0</v>
      </c>
      <c r="F72" s="103" cm="1">
        <f t="array" aca="1" ref="F72" ca="1">INDIRECT("'"&amp;F$67&amp;"NRARSummary'!F8")</f>
        <v>0</v>
      </c>
      <c r="G72" s="103" cm="1">
        <f t="array" aca="1" ref="G72" ca="1">INDIRECT("'"&amp;G$67&amp;"NRARSummary'!F8")</f>
        <v>0</v>
      </c>
      <c r="H72" s="103" cm="1">
        <f t="array" aca="1" ref="H72" ca="1">INDIRECT("'"&amp;H$67&amp;"NRARSummary'!F8")</f>
        <v>0</v>
      </c>
      <c r="I72" s="103" cm="1">
        <f t="array" aca="1" ref="I72" ca="1">INDIRECT("'"&amp;I$67&amp;"NRARSummary'!F8")</f>
        <v>0</v>
      </c>
      <c r="J72" s="103" cm="1">
        <f t="array" aca="1" ref="J72" ca="1">INDIRECT("'"&amp;J$67&amp;"NRARSummary'!F8")</f>
        <v>0</v>
      </c>
      <c r="K72" s="103" cm="1">
        <f t="array" aca="1" ref="K72" ca="1">INDIRECT("'"&amp;K$67&amp;"NRARSummary'!F8")</f>
        <v>0</v>
      </c>
      <c r="L72" s="104" cm="1">
        <f t="array" aca="1" ref="L72" ca="1">INDIRECT("'"&amp;L$67&amp;"NRARSummary'!F8")</f>
        <v>0</v>
      </c>
    </row>
    <row r="73" spans="1:34" ht="15.75" thickBot="1" x14ac:dyDescent="0.3">
      <c r="B73" s="46" t="s">
        <v>18</v>
      </c>
      <c r="C73" s="69" cm="1">
        <f t="array" aca="1" ref="C73" ca="1">INDIRECT("'"&amp;C$67&amp;"NRARSummary'!F9")-INDIRECT("'"&amp;C$67&amp;"NRARSummary'!F8")</f>
        <v>1.483324700422227E-3</v>
      </c>
      <c r="D73" s="47" cm="1">
        <f t="array" aca="1" ref="D73" ca="1">INDIRECT("'"&amp;D$67&amp;"NRARSummary'!F9")-INDIRECT("'"&amp;D$67&amp;"NRARSummary'!F8")</f>
        <v>1.508712125614409E-3</v>
      </c>
      <c r="E73" s="47" cm="1">
        <f t="array" aca="1" ref="E73" ca="1">INDIRECT("'"&amp;E$67&amp;"NRARSummary'!F9")-INDIRECT("'"&amp;E$67&amp;"NRARSummary'!F8")</f>
        <v>1.5260546290351031E-3</v>
      </c>
      <c r="F73" s="47" cm="1">
        <f t="array" aca="1" ref="F73" ca="1">INDIRECT("'"&amp;F$67&amp;"NRARSummary'!F9")-INDIRECT("'"&amp;F$67&amp;"NRARSummary'!F8")</f>
        <v>1.5370029481088954E-3</v>
      </c>
      <c r="G73" s="47" cm="1">
        <f t="array" aca="1" ref="G73" ca="1">INDIRECT("'"&amp;G$67&amp;"NRARSummary'!F9")-INDIRECT("'"&amp;G$67&amp;"NRARSummary'!F8")</f>
        <v>1.5286850266754044E-3</v>
      </c>
      <c r="H73" s="47" cm="1">
        <f t="array" aca="1" ref="H73" ca="1">INDIRECT("'"&amp;H$67&amp;"NRARSummary'!F9")-INDIRECT("'"&amp;H$67&amp;"NRARSummary'!F8")</f>
        <v>1.4982293335695761E-3</v>
      </c>
      <c r="I73" s="47" cm="1">
        <f t="array" aca="1" ref="I73" ca="1">INDIRECT("'"&amp;I$67&amp;"NRARSummary'!F9")-INDIRECT("'"&amp;I$67&amp;"NRARSummary'!F8")</f>
        <v>1.513486454965307E-3</v>
      </c>
      <c r="J73" s="47" cm="1">
        <f t="array" aca="1" ref="J73" ca="1">INDIRECT("'"&amp;J$67&amp;"NRARSummary'!F9")-INDIRECT("'"&amp;J$67&amp;"NRARSummary'!F8")</f>
        <v>1.5319599897318239E-3</v>
      </c>
      <c r="K73" s="47" cm="1">
        <f t="array" aca="1" ref="K73" ca="1">INDIRECT("'"&amp;K$67&amp;"NRARSummary'!F9")-INDIRECT("'"&amp;K$67&amp;"NRARSummary'!F8")</f>
        <v>1.5764976373283317E-3</v>
      </c>
      <c r="L73" s="58" cm="1">
        <f t="array" aca="1" ref="L73" ca="1">INDIRECT("'"&amp;L$67&amp;"NRARSummary'!F9")-INDIRECT("'"&amp;L$67&amp;"NRARSummary'!F8")</f>
        <v>1.5463803563099772E-3</v>
      </c>
    </row>
    <row r="74" spans="1:34" ht="15.75" thickBot="1" x14ac:dyDescent="0.3">
      <c r="B74" s="43" t="s">
        <v>10</v>
      </c>
      <c r="C74" s="50">
        <f ca="1">SUM(C68:C73)</f>
        <v>0.28530343507711292</v>
      </c>
      <c r="D74" s="44">
        <f t="shared" ref="D74:L74" ca="1" si="146">SUM(D68:D73)</f>
        <v>0.28864714997730856</v>
      </c>
      <c r="E74" s="44">
        <f t="shared" ca="1" si="146"/>
        <v>0.29725026028791968</v>
      </c>
      <c r="F74" s="44">
        <f t="shared" ca="1" si="146"/>
        <v>0.30551945707671568</v>
      </c>
      <c r="G74" s="44">
        <f t="shared" ca="1" si="146"/>
        <v>0.30844093042513832</v>
      </c>
      <c r="H74" s="44">
        <f t="shared" ca="1" si="146"/>
        <v>0.30984575770703571</v>
      </c>
      <c r="I74" s="44">
        <f t="shared" ca="1" si="146"/>
        <v>0.30915272027122626</v>
      </c>
      <c r="J74" s="44">
        <f t="shared" ca="1" si="146"/>
        <v>0.30982816458860718</v>
      </c>
      <c r="K74" s="44">
        <f t="shared" ca="1" si="146"/>
        <v>0.31154105516872166</v>
      </c>
      <c r="L74" s="45">
        <f t="shared" ca="1" si="146"/>
        <v>0.31357398411187282</v>
      </c>
    </row>
    <row r="75" spans="1:34" ht="15.75" thickBot="1" x14ac:dyDescent="0.3">
      <c r="B75" s="51" t="s">
        <v>93</v>
      </c>
      <c r="C75" s="55"/>
      <c r="D75" s="56">
        <f t="shared" ref="D75" ca="1" si="147">-(D74-C74)</f>
        <v>-3.3437149001956379E-3</v>
      </c>
      <c r="E75" s="56">
        <f t="shared" ref="E75" ca="1" si="148">-(E74-D74)</f>
        <v>-8.6031103106111173E-3</v>
      </c>
      <c r="F75" s="56">
        <f t="shared" ref="F75" ca="1" si="149">-(F74-E74)</f>
        <v>-8.2691967887960072E-3</v>
      </c>
      <c r="G75" s="56">
        <f t="shared" ref="G75" ca="1" si="150">-(G74-F74)</f>
        <v>-2.9214733484226318E-3</v>
      </c>
      <c r="H75" s="56">
        <f t="shared" ref="H75" ca="1" si="151">-(H74-G74)</f>
        <v>-1.4048272818973917E-3</v>
      </c>
      <c r="I75" s="56">
        <f t="shared" ref="I75" ca="1" si="152">-(I74-H74)</f>
        <v>6.9303743580945154E-4</v>
      </c>
      <c r="J75" s="56">
        <f t="shared" ref="J75" ca="1" si="153">-(J74-I74)</f>
        <v>-6.7544431738092436E-4</v>
      </c>
      <c r="K75" s="56">
        <f t="shared" ref="K75" ca="1" si="154">-(K74-J74)</f>
        <v>-1.7128905801144789E-3</v>
      </c>
      <c r="L75" s="57">
        <f t="shared" ref="L75" ca="1" si="155">-(L74-K74)</f>
        <v>-2.0329289431511577E-3</v>
      </c>
    </row>
    <row r="76" spans="1:34" ht="15.75" thickBot="1" x14ac:dyDescent="0.3">
      <c r="B76" s="51" t="s">
        <v>223</v>
      </c>
      <c r="C76" s="74"/>
      <c r="D76" s="75">
        <f t="shared" ref="D76:L76" ca="1" si="156">1-D74/$C74</f>
        <v>-1.1719855035365656E-2</v>
      </c>
      <c r="E76" s="75">
        <f t="shared" ca="1" si="156"/>
        <v>-4.1874102243380618E-2</v>
      </c>
      <c r="F76" s="75">
        <f t="shared" ca="1" si="156"/>
        <v>-7.0857969144811461E-2</v>
      </c>
      <c r="G76" s="75">
        <f t="shared" ca="1" si="156"/>
        <v>-8.1097850580634345E-2</v>
      </c>
      <c r="H76" s="75">
        <f t="shared" ca="1" si="156"/>
        <v>-8.6021826632719511E-2</v>
      </c>
      <c r="I76" s="75">
        <f t="shared" ca="1" si="156"/>
        <v>-8.3592702582312883E-2</v>
      </c>
      <c r="J76" s="75">
        <f t="shared" ca="1" si="156"/>
        <v>-8.596016204594803E-2</v>
      </c>
      <c r="K76" s="75">
        <f t="shared" ca="1" si="156"/>
        <v>-9.1963912332556186E-2</v>
      </c>
      <c r="L76" s="76">
        <f t="shared" ca="1" si="156"/>
        <v>-9.9089409936893302E-2</v>
      </c>
    </row>
    <row r="78" spans="1:34" x14ac:dyDescent="0.25">
      <c r="A78" s="260" t="s">
        <v>247</v>
      </c>
      <c r="B78" s="260"/>
      <c r="C78" s="260"/>
      <c r="D78" s="260"/>
      <c r="E78" s="260"/>
      <c r="F78" s="260"/>
      <c r="G78" s="260"/>
      <c r="H78" s="260"/>
      <c r="I78" s="260"/>
      <c r="J78" s="260"/>
      <c r="K78" s="260"/>
      <c r="L78" s="260"/>
    </row>
    <row r="79" spans="1:34" x14ac:dyDescent="0.25">
      <c r="A79" s="270" t="s">
        <v>260</v>
      </c>
      <c r="B79" s="270"/>
      <c r="C79" s="270"/>
      <c r="D79" s="270"/>
      <c r="E79" s="270"/>
      <c r="F79" s="270"/>
      <c r="G79" s="270"/>
      <c r="H79" s="270"/>
      <c r="I79" s="270"/>
      <c r="J79" s="270"/>
      <c r="K79" s="270"/>
      <c r="L79" s="270"/>
    </row>
    <row r="80" spans="1:34" x14ac:dyDescent="0.25">
      <c r="A80" s="12" t="s">
        <v>20</v>
      </c>
      <c r="B80" s="13"/>
      <c r="C80" s="267" t="s">
        <v>22</v>
      </c>
      <c r="D80" s="268"/>
      <c r="E80" s="268"/>
      <c r="F80" s="268"/>
      <c r="G80" s="268"/>
      <c r="H80" s="268"/>
      <c r="I80" s="268"/>
      <c r="J80" s="268"/>
      <c r="K80" s="268"/>
      <c r="L80" s="269"/>
    </row>
    <row r="81" spans="1:12" x14ac:dyDescent="0.25">
      <c r="A81" s="11" t="s">
        <v>23</v>
      </c>
      <c r="B81" s="11" t="s">
        <v>24</v>
      </c>
      <c r="C81" s="10">
        <v>2020</v>
      </c>
      <c r="D81" s="9">
        <v>2021</v>
      </c>
      <c r="E81" s="9">
        <v>2022</v>
      </c>
      <c r="F81" s="10">
        <v>2023</v>
      </c>
      <c r="G81" s="9">
        <v>2024</v>
      </c>
      <c r="H81" s="9">
        <v>2025</v>
      </c>
      <c r="I81" s="10">
        <v>2026</v>
      </c>
      <c r="J81" s="9">
        <v>2027</v>
      </c>
      <c r="K81" s="9">
        <v>2028</v>
      </c>
      <c r="L81" s="10">
        <v>2029</v>
      </c>
    </row>
    <row r="82" spans="1:12" x14ac:dyDescent="0.25">
      <c r="A82" s="14" t="s">
        <v>27</v>
      </c>
      <c r="B82" s="14" t="s">
        <v>28</v>
      </c>
      <c r="C82" s="16">
        <v>2791</v>
      </c>
      <c r="D82" s="15">
        <v>3055</v>
      </c>
      <c r="E82" s="15">
        <v>3267</v>
      </c>
      <c r="F82" s="16">
        <v>3576</v>
      </c>
      <c r="G82" s="15">
        <v>3974</v>
      </c>
      <c r="H82" s="15">
        <v>4524</v>
      </c>
      <c r="I82" s="16">
        <v>5078</v>
      </c>
      <c r="J82" s="15">
        <v>5628</v>
      </c>
      <c r="K82" s="15">
        <v>5778</v>
      </c>
      <c r="L82" s="16">
        <v>5937</v>
      </c>
    </row>
    <row r="83" spans="1:12" x14ac:dyDescent="0.25">
      <c r="A83" s="14" t="s">
        <v>44</v>
      </c>
      <c r="B83" s="14" t="s">
        <v>45</v>
      </c>
      <c r="C83" s="19">
        <v>0.3</v>
      </c>
      <c r="D83" s="20">
        <v>0.32700000000000001</v>
      </c>
      <c r="E83" s="20">
        <v>0.38100000000000001</v>
      </c>
      <c r="F83" s="19">
        <v>0.38100000000000001</v>
      </c>
      <c r="G83" s="20">
        <v>0.38100000000000001</v>
      </c>
      <c r="H83" s="20">
        <v>0.38100000000000001</v>
      </c>
      <c r="I83" s="19">
        <v>0.38100000000000001</v>
      </c>
      <c r="J83" s="20">
        <v>0.38100000000000001</v>
      </c>
      <c r="K83" s="20">
        <v>0.38100000000000001</v>
      </c>
      <c r="L83" s="19">
        <v>0.38100000000000001</v>
      </c>
    </row>
    <row r="84" spans="1:12" x14ac:dyDescent="0.25">
      <c r="A84" s="14" t="s">
        <v>30</v>
      </c>
      <c r="B84" s="14" t="s">
        <v>31</v>
      </c>
      <c r="C84" s="19" t="s">
        <v>168</v>
      </c>
      <c r="D84" s="20" t="s">
        <v>168</v>
      </c>
      <c r="E84" s="20" t="s">
        <v>168</v>
      </c>
      <c r="F84" s="178">
        <v>0.72479956365112663</v>
      </c>
      <c r="G84" s="179">
        <v>0.95</v>
      </c>
      <c r="H84" s="179">
        <v>0.95</v>
      </c>
      <c r="I84" s="178">
        <v>0.95</v>
      </c>
      <c r="J84" s="179">
        <v>0.95</v>
      </c>
      <c r="K84" s="179">
        <v>0.95</v>
      </c>
      <c r="L84" s="178">
        <v>0.95</v>
      </c>
    </row>
    <row r="85" spans="1:12" x14ac:dyDescent="0.25">
      <c r="A85" s="14" t="s">
        <v>33</v>
      </c>
      <c r="B85" s="14" t="s">
        <v>34</v>
      </c>
      <c r="C85" s="19" t="s">
        <v>168</v>
      </c>
      <c r="D85" s="20" t="s">
        <v>168</v>
      </c>
      <c r="E85" s="179">
        <v>0.4</v>
      </c>
      <c r="F85" s="179">
        <v>0.4</v>
      </c>
      <c r="G85" s="179">
        <v>0.45</v>
      </c>
      <c r="H85" s="179">
        <v>0.45</v>
      </c>
      <c r="I85" s="178">
        <v>0.45</v>
      </c>
      <c r="J85" s="179">
        <v>0.5</v>
      </c>
      <c r="K85" s="179">
        <v>0.5</v>
      </c>
      <c r="L85" s="178">
        <v>0.5</v>
      </c>
    </row>
    <row r="86" spans="1:12" x14ac:dyDescent="0.25">
      <c r="A86" s="14" t="s">
        <v>35</v>
      </c>
      <c r="B86" s="14" t="s">
        <v>36</v>
      </c>
      <c r="C86" s="179">
        <v>0</v>
      </c>
      <c r="D86" s="179">
        <v>0.05</v>
      </c>
      <c r="E86" s="20">
        <v>0.15</v>
      </c>
      <c r="F86" s="19">
        <v>0.3</v>
      </c>
      <c r="G86" s="179">
        <v>0.3</v>
      </c>
      <c r="H86" s="179">
        <v>0.3</v>
      </c>
      <c r="I86" s="178">
        <v>0.3</v>
      </c>
      <c r="J86" s="179">
        <v>0.3</v>
      </c>
      <c r="K86" s="179">
        <v>0.3</v>
      </c>
      <c r="L86" s="178">
        <v>0.3</v>
      </c>
    </row>
    <row r="87" spans="1:12" x14ac:dyDescent="0.25">
      <c r="A87" s="14" t="s">
        <v>61</v>
      </c>
      <c r="B87" s="14" t="s">
        <v>37</v>
      </c>
      <c r="C87" s="178">
        <v>0.22</v>
      </c>
      <c r="D87" s="179">
        <v>0.25</v>
      </c>
      <c r="E87" s="179">
        <v>0.3</v>
      </c>
      <c r="F87" s="178">
        <v>0.35</v>
      </c>
      <c r="G87" s="179">
        <v>0.35</v>
      </c>
      <c r="H87" s="179">
        <v>0.35</v>
      </c>
      <c r="I87" s="178">
        <v>0.35</v>
      </c>
      <c r="J87" s="179">
        <v>0.35</v>
      </c>
      <c r="K87" s="179">
        <v>0.35</v>
      </c>
      <c r="L87" s="178">
        <v>0.35</v>
      </c>
    </row>
    <row r="88" spans="1:12" x14ac:dyDescent="0.25">
      <c r="A88" s="14" t="s">
        <v>38</v>
      </c>
      <c r="B88" s="14" t="s">
        <v>39</v>
      </c>
      <c r="C88" s="19" t="s">
        <v>168</v>
      </c>
      <c r="D88" s="20" t="s">
        <v>168</v>
      </c>
      <c r="E88" s="20" t="s">
        <v>168</v>
      </c>
      <c r="F88" s="178" t="s">
        <v>168</v>
      </c>
      <c r="G88" s="179">
        <v>0.25</v>
      </c>
      <c r="H88" s="179">
        <v>0.25</v>
      </c>
      <c r="I88" s="178">
        <v>0.25</v>
      </c>
      <c r="J88" s="179">
        <v>0.25</v>
      </c>
      <c r="K88" s="179">
        <v>0.25</v>
      </c>
      <c r="L88" s="178">
        <v>0.25</v>
      </c>
    </row>
    <row r="89" spans="1:12" x14ac:dyDescent="0.25">
      <c r="A89" s="14" t="s">
        <v>40</v>
      </c>
      <c r="B89" s="14" t="s">
        <v>41</v>
      </c>
      <c r="C89" s="180" t="s">
        <v>256</v>
      </c>
      <c r="D89" s="180" t="s">
        <v>256</v>
      </c>
      <c r="E89" s="180" t="s">
        <v>256</v>
      </c>
      <c r="F89" s="180" t="s">
        <v>256</v>
      </c>
      <c r="G89" s="180" t="s">
        <v>257</v>
      </c>
      <c r="H89" s="180" t="s">
        <v>257</v>
      </c>
      <c r="I89" s="180" t="s">
        <v>257</v>
      </c>
      <c r="J89" s="180" t="s">
        <v>257</v>
      </c>
      <c r="K89" s="180" t="s">
        <v>257</v>
      </c>
      <c r="L89" s="180" t="s">
        <v>257</v>
      </c>
    </row>
    <row r="90" spans="1:12" x14ac:dyDescent="0.25">
      <c r="A90" s="14" t="s">
        <v>42</v>
      </c>
      <c r="B90" s="14" t="s">
        <v>43</v>
      </c>
      <c r="C90" s="19">
        <v>0</v>
      </c>
      <c r="D90" s="20">
        <v>0.1</v>
      </c>
      <c r="E90" s="20">
        <v>0.1</v>
      </c>
      <c r="F90" s="178">
        <v>0.3</v>
      </c>
      <c r="G90" s="20">
        <v>0.3</v>
      </c>
      <c r="H90" s="20">
        <v>0.3</v>
      </c>
      <c r="I90" s="178">
        <v>0.5</v>
      </c>
      <c r="J90" s="179">
        <v>0.5</v>
      </c>
      <c r="K90" s="179">
        <v>0.5</v>
      </c>
      <c r="L90" s="178">
        <v>0.5</v>
      </c>
    </row>
    <row r="92" spans="1:12" x14ac:dyDescent="0.25">
      <c r="A92" s="21" t="s">
        <v>48</v>
      </c>
    </row>
    <row r="93" spans="1:12" x14ac:dyDescent="0.25">
      <c r="A93" s="22" t="s">
        <v>49</v>
      </c>
      <c r="B93" t="s">
        <v>50</v>
      </c>
    </row>
    <row r="94" spans="1:12" x14ac:dyDescent="0.25">
      <c r="A94" s="22" t="s">
        <v>51</v>
      </c>
      <c r="B94" t="s">
        <v>52</v>
      </c>
    </row>
    <row r="95" spans="1:12" x14ac:dyDescent="0.25">
      <c r="A95" s="22" t="s">
        <v>53</v>
      </c>
      <c r="B95" t="s">
        <v>54</v>
      </c>
    </row>
  </sheetData>
  <sheetProtection algorithmName="SHA-512" hashValue="MZCnbbCdq8fGkqnziKtQe0xOU6XIdUy8AzegEPxO0f6qVN7PCkvkB0LLP2ZcNsW9nAfmc70PI2orW0ChQPohVg==" saltValue="DRN2FZxkNd7so7E9Ha1s6Q==" spinCount="100000" sheet="1" objects="1" scenarios="1"/>
  <mergeCells count="21">
    <mergeCell ref="AJ4:AO4"/>
    <mergeCell ref="AQ4:AV4"/>
    <mergeCell ref="AJ17:AO17"/>
    <mergeCell ref="AQ17:AV17"/>
    <mergeCell ref="Y30:AH30"/>
    <mergeCell ref="Y43:AH43"/>
    <mergeCell ref="Y56:AH56"/>
    <mergeCell ref="C4:L4"/>
    <mergeCell ref="B1:L1"/>
    <mergeCell ref="B2:L2"/>
    <mergeCell ref="C22:L22"/>
    <mergeCell ref="X1:AH1"/>
    <mergeCell ref="X2:AH2"/>
    <mergeCell ref="Y4:AH4"/>
    <mergeCell ref="Y17:AH17"/>
    <mergeCell ref="C80:L80"/>
    <mergeCell ref="A79:L79"/>
    <mergeCell ref="A78:L78"/>
    <mergeCell ref="C42:L42"/>
    <mergeCell ref="C54:L54"/>
    <mergeCell ref="C66:L66"/>
  </mergeCells>
  <conditionalFormatting sqref="C83:L83 C84:E84 G84:L84 C85:L85 C86:D86 G86:L86 C87:L90">
    <cfRule type="cellIs" dxfId="10" priority="8" operator="equal">
      <formula>"n/a"</formula>
    </cfRule>
  </conditionalFormatting>
  <conditionalFormatting sqref="D19:L19 D37:L37">
    <cfRule type="cellIs" dxfId="9" priority="28" operator="lessThan">
      <formula>0</formula>
    </cfRule>
    <cfRule type="cellIs" dxfId="8" priority="29" operator="greaterThanOrEqual">
      <formula>0</formula>
    </cfRule>
  </conditionalFormatting>
  <conditionalFormatting sqref="D20:L20">
    <cfRule type="cellIs" dxfId="7" priority="17" operator="equal">
      <formula>"No"</formula>
    </cfRule>
    <cfRule type="cellIs" dxfId="6" priority="18" operator="equal">
      <formula>"Yes"</formula>
    </cfRule>
  </conditionalFormatting>
  <conditionalFormatting sqref="D38:L38">
    <cfRule type="cellIs" dxfId="5" priority="15" operator="equal">
      <formula>"No"</formula>
    </cfRule>
    <cfRule type="cellIs" dxfId="4" priority="16" operator="equal">
      <formula>"Yes"</formula>
    </cfRule>
  </conditionalFormatting>
  <conditionalFormatting sqref="D40:L40">
    <cfRule type="cellIs" dxfId="3" priority="13" operator="equal">
      <formula>"No"</formula>
    </cfRule>
    <cfRule type="cellIs" dxfId="2" priority="14" operator="equal">
      <formula>"Yes"</formula>
    </cfRule>
  </conditionalFormatting>
  <printOptions horizontalCentered="1"/>
  <pageMargins left="0.25" right="0.25" top="0.75" bottom="0.75" header="0.3" footer="0.3"/>
  <pageSetup scale="69"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3E99F-5918-4234-A602-97100B43EFFE}">
  <sheetPr codeName="Sheet30"/>
  <dimension ref="A2:X92"/>
  <sheetViews>
    <sheetView workbookViewId="0"/>
  </sheetViews>
  <sheetFormatPr defaultRowHeight="15" x14ac:dyDescent="0.25"/>
  <cols>
    <col min="1" max="1" width="13" customWidth="1"/>
    <col min="23" max="23" width="11.85546875" customWidth="1"/>
  </cols>
  <sheetData>
    <row r="2" spans="1:24" x14ac:dyDescent="0.25">
      <c r="A2" t="s">
        <v>320</v>
      </c>
    </row>
    <row r="3" spans="1:24" x14ac:dyDescent="0.25">
      <c r="A3" s="77" t="s">
        <v>216</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3.0049000000000001</v>
      </c>
      <c r="C7">
        <v>9.1999999999999998E-3</v>
      </c>
      <c r="D7">
        <v>0.16900000000000001</v>
      </c>
      <c r="E7">
        <v>0.2495</v>
      </c>
      <c r="F7">
        <v>0.2495</v>
      </c>
      <c r="G7">
        <v>0.29730000000000001</v>
      </c>
      <c r="H7">
        <v>0.54659999999999997</v>
      </c>
      <c r="I7">
        <v>18.946899999999999</v>
      </c>
      <c r="J7">
        <v>0.124</v>
      </c>
      <c r="K7">
        <v>2.3515999999999999</v>
      </c>
      <c r="L7">
        <v>1.9722999999999999</v>
      </c>
      <c r="M7">
        <v>1.9722999999999999</v>
      </c>
      <c r="N7">
        <v>3.8206000000000002</v>
      </c>
      <c r="O7">
        <v>8.0653000000000006</v>
      </c>
      <c r="P7">
        <v>21.951799999999999</v>
      </c>
      <c r="Q7">
        <v>0.13320000000000001</v>
      </c>
      <c r="R7">
        <v>2.5207000000000002</v>
      </c>
      <c r="S7">
        <v>2.2218</v>
      </c>
      <c r="T7">
        <v>2.2218</v>
      </c>
      <c r="U7">
        <v>4.1178999999999997</v>
      </c>
      <c r="V7">
        <v>8.6118000000000006</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7.0000000000000001E-3</v>
      </c>
      <c r="E10">
        <v>2.0000000000000001E-4</v>
      </c>
      <c r="F10">
        <v>2.0000000000000001E-4</v>
      </c>
      <c r="G10">
        <v>4.8999999999999998E-3</v>
      </c>
      <c r="H10">
        <v>2.9999999999999997E-4</v>
      </c>
      <c r="I10">
        <v>1.35E-2</v>
      </c>
      <c r="J10">
        <v>6.9999999999999999E-4</v>
      </c>
      <c r="K10">
        <v>0.54069999999999996</v>
      </c>
      <c r="L10">
        <v>1.37E-2</v>
      </c>
      <c r="M10">
        <v>1.37E-2</v>
      </c>
      <c r="N10">
        <v>0.38219999999999998</v>
      </c>
      <c r="O10">
        <v>2.1399999999999999E-2</v>
      </c>
      <c r="P10">
        <v>1.3599999999999999E-2</v>
      </c>
      <c r="Q10">
        <v>6.9999999999999999E-4</v>
      </c>
      <c r="R10">
        <v>0.54769999999999996</v>
      </c>
      <c r="S10">
        <v>1.3899999999999999E-2</v>
      </c>
      <c r="T10">
        <v>1.3899999999999999E-2</v>
      </c>
      <c r="U10">
        <v>0.3871</v>
      </c>
      <c r="V10">
        <v>2.1700000000000001E-2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2.8899999999999999E-2</v>
      </c>
      <c r="J13">
        <v>2.9999999999999997E-4</v>
      </c>
      <c r="K13">
        <v>1E-3</v>
      </c>
      <c r="L13">
        <v>1.8E-3</v>
      </c>
      <c r="M13">
        <v>1.8E-3</v>
      </c>
      <c r="N13">
        <v>2.0999999999999999E-3</v>
      </c>
      <c r="O13">
        <v>2.2000000000000001E-3</v>
      </c>
      <c r="P13">
        <v>2.9000000000000001E-2</v>
      </c>
      <c r="Q13">
        <v>2.9999999999999997E-4</v>
      </c>
      <c r="R13">
        <v>1E-3</v>
      </c>
      <c r="S13">
        <v>1.8E-3</v>
      </c>
      <c r="T13">
        <v>1.8E-3</v>
      </c>
      <c r="U13">
        <v>2.0999999999999999E-3</v>
      </c>
      <c r="V13">
        <v>2.2000000000000001E-3</v>
      </c>
      <c r="W13" s="4" t="s">
        <v>122</v>
      </c>
      <c r="X13" s="4" t="s">
        <v>114</v>
      </c>
    </row>
    <row r="14" spans="1:24" x14ac:dyDescent="0.25">
      <c r="A14" s="4">
        <v>2104004000</v>
      </c>
      <c r="B14">
        <v>4.4000000000000003E-3</v>
      </c>
      <c r="C14">
        <v>2.0000000000000001E-4</v>
      </c>
      <c r="D14">
        <v>0.1094</v>
      </c>
      <c r="E14">
        <v>4.4000000000000003E-3</v>
      </c>
      <c r="F14">
        <v>4.4000000000000003E-3</v>
      </c>
      <c r="G14">
        <v>0.28179999999999999</v>
      </c>
      <c r="H14">
        <v>7.0000000000000001E-3</v>
      </c>
      <c r="I14">
        <v>5.21E-2</v>
      </c>
      <c r="J14">
        <v>2.8E-3</v>
      </c>
      <c r="K14">
        <v>1.3053999999999999</v>
      </c>
      <c r="L14">
        <v>5.3100000000000001E-2</v>
      </c>
      <c r="M14">
        <v>5.3100000000000001E-2</v>
      </c>
      <c r="N14">
        <v>3.3616000000000001</v>
      </c>
      <c r="O14">
        <v>8.2900000000000001E-2</v>
      </c>
      <c r="P14">
        <v>5.6500000000000002E-2</v>
      </c>
      <c r="Q14">
        <v>3.0999999999999999E-3</v>
      </c>
      <c r="R14">
        <v>1.4148000000000001</v>
      </c>
      <c r="S14">
        <v>5.7500000000000002E-2</v>
      </c>
      <c r="T14">
        <v>5.7500000000000002E-2</v>
      </c>
      <c r="U14">
        <v>3.6434000000000002</v>
      </c>
      <c r="V14">
        <v>8.9899999999999994E-2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0.1103</v>
      </c>
      <c r="C16">
        <v>8.0000000000000004E-4</v>
      </c>
      <c r="D16">
        <v>1.1000000000000001E-3</v>
      </c>
      <c r="E16">
        <v>1.5100000000000001E-2</v>
      </c>
      <c r="F16">
        <v>1.5100000000000001E-2</v>
      </c>
      <c r="G16">
        <v>2.0000000000000001E-4</v>
      </c>
      <c r="H16">
        <v>0.1</v>
      </c>
      <c r="I16">
        <v>6.6029999999999998</v>
      </c>
      <c r="J16">
        <v>4.7100000000000003E-2</v>
      </c>
      <c r="K16">
        <v>6.8000000000000005E-2</v>
      </c>
      <c r="L16">
        <v>0.90449999999999997</v>
      </c>
      <c r="M16">
        <v>0.90449999999999997</v>
      </c>
      <c r="N16">
        <v>1.0500000000000001E-2</v>
      </c>
      <c r="O16">
        <v>5.9861000000000004</v>
      </c>
      <c r="P16">
        <v>6.7133000000000003</v>
      </c>
      <c r="Q16">
        <v>4.7800000000000002E-2</v>
      </c>
      <c r="R16">
        <v>6.9099999999999995E-2</v>
      </c>
      <c r="S16">
        <v>0.91959999999999997</v>
      </c>
      <c r="T16">
        <v>0.91959999999999997</v>
      </c>
      <c r="U16">
        <v>1.06E-2</v>
      </c>
      <c r="V16">
        <v>6.0861000000000001</v>
      </c>
      <c r="W16" s="4" t="s">
        <v>125</v>
      </c>
      <c r="X16" s="4" t="s">
        <v>116</v>
      </c>
    </row>
    <row r="17" spans="1:24" x14ac:dyDescent="0.25">
      <c r="A17" s="4">
        <v>2104008210</v>
      </c>
      <c r="B17">
        <v>5.5100000000000003E-2</v>
      </c>
      <c r="C17">
        <v>4.0000000000000002E-4</v>
      </c>
      <c r="D17">
        <v>6.9999999999999999E-4</v>
      </c>
      <c r="E17">
        <v>7.3000000000000001E-3</v>
      </c>
      <c r="F17">
        <v>7.3000000000000001E-3</v>
      </c>
      <c r="G17">
        <v>1E-4</v>
      </c>
      <c r="H17">
        <v>1.26E-2</v>
      </c>
      <c r="I17">
        <v>0.2281</v>
      </c>
      <c r="J17">
        <v>1.6999999999999999E-3</v>
      </c>
      <c r="K17">
        <v>2.8E-3</v>
      </c>
      <c r="L17">
        <v>3.0200000000000001E-2</v>
      </c>
      <c r="M17">
        <v>3.0200000000000001E-2</v>
      </c>
      <c r="N17">
        <v>4.0000000000000002E-4</v>
      </c>
      <c r="O17">
        <v>5.2400000000000002E-2</v>
      </c>
      <c r="P17">
        <v>0.28320000000000001</v>
      </c>
      <c r="Q17">
        <v>2.0999999999999999E-3</v>
      </c>
      <c r="R17">
        <v>3.3999999999999998E-3</v>
      </c>
      <c r="S17">
        <v>3.7499999999999999E-2</v>
      </c>
      <c r="T17">
        <v>3.7499999999999999E-2</v>
      </c>
      <c r="U17">
        <v>5.0000000000000001E-4</v>
      </c>
      <c r="V17">
        <v>6.5000000000000002E-2</v>
      </c>
      <c r="W17" s="4" t="s">
        <v>126</v>
      </c>
      <c r="X17" s="4" t="s">
        <v>116</v>
      </c>
    </row>
    <row r="18" spans="1:24" x14ac:dyDescent="0.25">
      <c r="A18" s="4">
        <v>2104008220</v>
      </c>
      <c r="B18">
        <v>0.12770000000000001</v>
      </c>
      <c r="C18">
        <v>8.0000000000000004E-4</v>
      </c>
      <c r="D18">
        <v>1.8E-3</v>
      </c>
      <c r="E18">
        <v>1.09E-2</v>
      </c>
      <c r="F18">
        <v>1.09E-2</v>
      </c>
      <c r="G18">
        <v>4.0000000000000002E-4</v>
      </c>
      <c r="H18">
        <v>1.09E-2</v>
      </c>
      <c r="I18">
        <v>0.5292</v>
      </c>
      <c r="J18">
        <v>3.3999999999999998E-3</v>
      </c>
      <c r="K18">
        <v>7.4999999999999997E-3</v>
      </c>
      <c r="L18">
        <v>4.5100000000000001E-2</v>
      </c>
      <c r="M18">
        <v>4.5100000000000001E-2</v>
      </c>
      <c r="N18">
        <v>1.5E-3</v>
      </c>
      <c r="O18">
        <v>4.5100000000000001E-2</v>
      </c>
      <c r="P18">
        <v>0.65690000000000004</v>
      </c>
      <c r="Q18">
        <v>4.1999999999999997E-3</v>
      </c>
      <c r="R18">
        <v>9.2999999999999992E-3</v>
      </c>
      <c r="S18">
        <v>5.6000000000000001E-2</v>
      </c>
      <c r="T18">
        <v>5.6000000000000001E-2</v>
      </c>
      <c r="U18">
        <v>1.9E-3</v>
      </c>
      <c r="V18">
        <v>5.6000000000000001E-2</v>
      </c>
      <c r="W18" s="4" t="s">
        <v>127</v>
      </c>
      <c r="X18" s="4" t="s">
        <v>116</v>
      </c>
    </row>
    <row r="19" spans="1:24" x14ac:dyDescent="0.25">
      <c r="A19" s="4">
        <v>2104008230</v>
      </c>
      <c r="B19">
        <v>0.1411</v>
      </c>
      <c r="C19">
        <v>1.1999999999999999E-3</v>
      </c>
      <c r="D19">
        <v>2.5999999999999999E-3</v>
      </c>
      <c r="E19">
        <v>1.7100000000000001E-2</v>
      </c>
      <c r="F19">
        <v>1.7100000000000001E-2</v>
      </c>
      <c r="G19">
        <v>5.0000000000000001E-4</v>
      </c>
      <c r="H19">
        <v>1.9800000000000002E-2</v>
      </c>
      <c r="I19">
        <v>0.58450000000000002</v>
      </c>
      <c r="J19">
        <v>4.8999999999999998E-3</v>
      </c>
      <c r="K19">
        <v>1.09E-2</v>
      </c>
      <c r="L19">
        <v>7.0999999999999994E-2</v>
      </c>
      <c r="M19">
        <v>7.0999999999999994E-2</v>
      </c>
      <c r="N19">
        <v>2.2000000000000001E-3</v>
      </c>
      <c r="O19">
        <v>8.1900000000000001E-2</v>
      </c>
      <c r="P19">
        <v>0.72560000000000002</v>
      </c>
      <c r="Q19">
        <v>6.1000000000000004E-3</v>
      </c>
      <c r="R19">
        <v>1.3599999999999999E-2</v>
      </c>
      <c r="S19">
        <v>8.8200000000000001E-2</v>
      </c>
      <c r="T19">
        <v>8.8200000000000001E-2</v>
      </c>
      <c r="U19">
        <v>2.7000000000000001E-3</v>
      </c>
      <c r="V19">
        <v>0.1017</v>
      </c>
      <c r="W19" s="4" t="s">
        <v>128</v>
      </c>
      <c r="X19" s="4" t="s">
        <v>116</v>
      </c>
    </row>
    <row r="20" spans="1:24" x14ac:dyDescent="0.25">
      <c r="A20" s="4">
        <v>2104008310</v>
      </c>
      <c r="B20">
        <v>0.23649999999999999</v>
      </c>
      <c r="C20">
        <v>8.0000000000000004E-4</v>
      </c>
      <c r="D20">
        <v>2.8E-3</v>
      </c>
      <c r="E20">
        <v>2.3699999999999999E-2</v>
      </c>
      <c r="F20">
        <v>2.3699999999999999E-2</v>
      </c>
      <c r="G20">
        <v>8.0000000000000004E-4</v>
      </c>
      <c r="H20">
        <v>0.10340000000000001</v>
      </c>
      <c r="I20">
        <v>0.97989999999999999</v>
      </c>
      <c r="J20">
        <v>3.2000000000000002E-3</v>
      </c>
      <c r="K20">
        <v>1.17E-2</v>
      </c>
      <c r="L20">
        <v>9.8199999999999996E-2</v>
      </c>
      <c r="M20">
        <v>9.8199999999999996E-2</v>
      </c>
      <c r="N20">
        <v>3.2000000000000002E-3</v>
      </c>
      <c r="O20">
        <v>0.42859999999999998</v>
      </c>
      <c r="P20">
        <v>1.2163999999999999</v>
      </c>
      <c r="Q20">
        <v>4.0000000000000001E-3</v>
      </c>
      <c r="R20">
        <v>1.46E-2</v>
      </c>
      <c r="S20">
        <v>0.12189999999999999</v>
      </c>
      <c r="T20">
        <v>0.12189999999999999</v>
      </c>
      <c r="U20">
        <v>4.0000000000000001E-3</v>
      </c>
      <c r="V20">
        <v>0.53210000000000002</v>
      </c>
      <c r="W20" s="4" t="s">
        <v>129</v>
      </c>
      <c r="X20" s="4" t="s">
        <v>116</v>
      </c>
    </row>
    <row r="21" spans="1:24" x14ac:dyDescent="0.25">
      <c r="A21" s="4">
        <v>2104008320</v>
      </c>
      <c r="B21">
        <v>0.91759999999999997</v>
      </c>
      <c r="C21">
        <v>1.9E-3</v>
      </c>
      <c r="D21">
        <v>1.1900000000000001E-2</v>
      </c>
      <c r="E21">
        <v>5.8799999999999998E-2</v>
      </c>
      <c r="F21">
        <v>5.8799999999999998E-2</v>
      </c>
      <c r="G21">
        <v>3.0000000000000001E-3</v>
      </c>
      <c r="H21">
        <v>8.9099999999999999E-2</v>
      </c>
      <c r="I21">
        <v>3.8018999999999998</v>
      </c>
      <c r="J21">
        <v>7.7000000000000002E-3</v>
      </c>
      <c r="K21">
        <v>4.9500000000000002E-2</v>
      </c>
      <c r="L21">
        <v>0.2437</v>
      </c>
      <c r="M21">
        <v>0.2437</v>
      </c>
      <c r="N21">
        <v>1.23E-2</v>
      </c>
      <c r="O21">
        <v>0.36899999999999999</v>
      </c>
      <c r="P21">
        <v>4.7194000000000003</v>
      </c>
      <c r="Q21">
        <v>9.4999999999999998E-3</v>
      </c>
      <c r="R21">
        <v>6.1400000000000003E-2</v>
      </c>
      <c r="S21">
        <v>0.30249999999999999</v>
      </c>
      <c r="T21">
        <v>0.30249999999999999</v>
      </c>
      <c r="U21">
        <v>1.5299999999999999E-2</v>
      </c>
      <c r="V21">
        <v>0.45800000000000002</v>
      </c>
      <c r="W21" s="4" t="s">
        <v>130</v>
      </c>
      <c r="X21" s="4" t="s">
        <v>116</v>
      </c>
    </row>
    <row r="22" spans="1:24" x14ac:dyDescent="0.25">
      <c r="A22" s="4">
        <v>2104008330</v>
      </c>
      <c r="B22">
        <v>1.3338000000000001</v>
      </c>
      <c r="C22">
        <v>2.7000000000000001E-3</v>
      </c>
      <c r="D22">
        <v>1.7399999999999999E-2</v>
      </c>
      <c r="E22">
        <v>9.4899999999999998E-2</v>
      </c>
      <c r="F22">
        <v>9.4899999999999998E-2</v>
      </c>
      <c r="G22">
        <v>4.3E-3</v>
      </c>
      <c r="H22">
        <v>0.1618</v>
      </c>
      <c r="I22">
        <v>5.5262000000000002</v>
      </c>
      <c r="J22">
        <v>1.12E-2</v>
      </c>
      <c r="K22">
        <v>7.1900000000000006E-2</v>
      </c>
      <c r="L22">
        <v>0.39300000000000002</v>
      </c>
      <c r="M22">
        <v>0.39300000000000002</v>
      </c>
      <c r="N22">
        <v>1.7899999999999999E-2</v>
      </c>
      <c r="O22">
        <v>0.6704</v>
      </c>
      <c r="P22">
        <v>6.86</v>
      </c>
      <c r="Q22">
        <v>1.3899999999999999E-2</v>
      </c>
      <c r="R22">
        <v>8.9300000000000004E-2</v>
      </c>
      <c r="S22">
        <v>0.4879</v>
      </c>
      <c r="T22">
        <v>0.4879</v>
      </c>
      <c r="U22">
        <v>2.2200000000000001E-2</v>
      </c>
      <c r="V22">
        <v>0.83220000000000005</v>
      </c>
      <c r="W22" s="4" t="s">
        <v>131</v>
      </c>
      <c r="X22" s="4" t="s">
        <v>116</v>
      </c>
    </row>
    <row r="23" spans="1:24" x14ac:dyDescent="0.25">
      <c r="A23" s="4">
        <v>2104008410</v>
      </c>
      <c r="B23">
        <v>3.0999999999999999E-3</v>
      </c>
      <c r="C23">
        <v>0</v>
      </c>
      <c r="D23">
        <v>1.2999999999999999E-3</v>
      </c>
      <c r="E23">
        <v>8.9999999999999998E-4</v>
      </c>
      <c r="F23">
        <v>8.9999999999999998E-4</v>
      </c>
      <c r="G23">
        <v>1E-4</v>
      </c>
      <c r="H23">
        <v>6.9999999999999999E-4</v>
      </c>
      <c r="I23">
        <v>1.2999999999999999E-2</v>
      </c>
      <c r="J23">
        <v>1E-4</v>
      </c>
      <c r="K23">
        <v>5.1999999999999998E-3</v>
      </c>
      <c r="L23">
        <v>3.8999999999999998E-3</v>
      </c>
      <c r="M23">
        <v>3.8999999999999998E-3</v>
      </c>
      <c r="N23">
        <v>4.0000000000000002E-4</v>
      </c>
      <c r="O23">
        <v>3.0000000000000001E-3</v>
      </c>
      <c r="P23">
        <v>1.61E-2</v>
      </c>
      <c r="Q23">
        <v>1E-4</v>
      </c>
      <c r="R23">
        <v>6.4999999999999997E-3</v>
      </c>
      <c r="S23">
        <v>4.7999999999999996E-3</v>
      </c>
      <c r="T23">
        <v>4.7999999999999996E-3</v>
      </c>
      <c r="U23">
        <v>5.0000000000000001E-4</v>
      </c>
      <c r="V23">
        <v>3.7000000000000002E-3</v>
      </c>
      <c r="W23" s="4" t="s">
        <v>132</v>
      </c>
      <c r="X23" s="4" t="s">
        <v>116</v>
      </c>
    </row>
    <row r="24" spans="1:24" x14ac:dyDescent="0.25">
      <c r="A24" s="4">
        <v>2104008420</v>
      </c>
      <c r="B24">
        <v>2.93E-2</v>
      </c>
      <c r="C24">
        <v>2.0000000000000001E-4</v>
      </c>
      <c r="D24">
        <v>1.18E-2</v>
      </c>
      <c r="E24">
        <v>8.6999999999999994E-3</v>
      </c>
      <c r="F24">
        <v>8.6999999999999994E-3</v>
      </c>
      <c r="G24">
        <v>8.9999999999999998E-4</v>
      </c>
      <c r="H24">
        <v>6.7999999999999996E-3</v>
      </c>
      <c r="I24">
        <v>0.1212</v>
      </c>
      <c r="J24">
        <v>8.9999999999999998E-4</v>
      </c>
      <c r="K24">
        <v>4.8899999999999999E-2</v>
      </c>
      <c r="L24">
        <v>3.61E-2</v>
      </c>
      <c r="M24">
        <v>3.61E-2</v>
      </c>
      <c r="N24">
        <v>3.8999999999999998E-3</v>
      </c>
      <c r="O24">
        <v>2.8000000000000001E-2</v>
      </c>
      <c r="P24">
        <v>0.15049999999999999</v>
      </c>
      <c r="Q24">
        <v>1.1000000000000001E-3</v>
      </c>
      <c r="R24">
        <v>6.0699999999999997E-2</v>
      </c>
      <c r="S24">
        <v>4.48E-2</v>
      </c>
      <c r="T24">
        <v>4.48E-2</v>
      </c>
      <c r="U24">
        <v>4.7999999999999996E-3</v>
      </c>
      <c r="V24">
        <v>3.4700000000000002E-2</v>
      </c>
      <c r="W24" s="4" t="s">
        <v>133</v>
      </c>
      <c r="X24" s="4" t="s">
        <v>116</v>
      </c>
    </row>
    <row r="25" spans="1:24" x14ac:dyDescent="0.25">
      <c r="A25" s="4">
        <v>2104008610</v>
      </c>
      <c r="B25">
        <v>4.5400000000000003E-2</v>
      </c>
      <c r="C25">
        <v>2.0000000000000001E-4</v>
      </c>
      <c r="D25">
        <v>1.1999999999999999E-3</v>
      </c>
      <c r="E25">
        <v>7.4000000000000003E-3</v>
      </c>
      <c r="F25">
        <v>7.4000000000000003E-3</v>
      </c>
      <c r="G25">
        <v>2.9999999999999997E-4</v>
      </c>
      <c r="H25">
        <v>3.4099999999999998E-2</v>
      </c>
      <c r="I25">
        <v>0.37609999999999999</v>
      </c>
      <c r="J25">
        <v>1.5E-3</v>
      </c>
      <c r="K25">
        <v>0.01</v>
      </c>
      <c r="L25">
        <v>6.13E-2</v>
      </c>
      <c r="M25">
        <v>6.13E-2</v>
      </c>
      <c r="N25">
        <v>2.5000000000000001E-3</v>
      </c>
      <c r="O25">
        <v>0.28189999999999998</v>
      </c>
      <c r="P25">
        <v>0.42149999999999999</v>
      </c>
      <c r="Q25">
        <v>1.6999999999999999E-3</v>
      </c>
      <c r="R25">
        <v>1.12E-2</v>
      </c>
      <c r="S25">
        <v>6.8699999999999997E-2</v>
      </c>
      <c r="T25">
        <v>6.8699999999999997E-2</v>
      </c>
      <c r="U25">
        <v>2.8E-3</v>
      </c>
      <c r="V25">
        <v>0.31590000000000001</v>
      </c>
      <c r="W25" s="4" t="s">
        <v>134</v>
      </c>
      <c r="X25" s="4" t="s">
        <v>116</v>
      </c>
    </row>
    <row r="26" spans="1:24" x14ac:dyDescent="0.25">
      <c r="X26" s="4"/>
    </row>
    <row r="27" spans="1:24" x14ac:dyDescent="0.25">
      <c r="B27" s="79">
        <f>SUMIFS(B8:B25,$X8:$X25,$X27)/B7</f>
        <v>0.9984358880495191</v>
      </c>
      <c r="C27" s="79">
        <f t="shared" ref="C27:V27" si="0">SUMIFS(C8:C25,$X8:$X25,$X27)/C7</f>
        <v>0.97826086956521752</v>
      </c>
      <c r="D27" s="79">
        <f t="shared" si="0"/>
        <v>0.31124260355029582</v>
      </c>
      <c r="E27" s="79">
        <f t="shared" si="0"/>
        <v>0.98116232464929853</v>
      </c>
      <c r="F27" s="79">
        <f t="shared" si="0"/>
        <v>0.98116232464929853</v>
      </c>
      <c r="G27" s="79">
        <f t="shared" si="0"/>
        <v>3.5654221325260672E-2</v>
      </c>
      <c r="H27" s="79">
        <f t="shared" si="0"/>
        <v>0.98682766190998905</v>
      </c>
      <c r="I27" s="79">
        <f t="shared" si="0"/>
        <v>0.99039420696789471</v>
      </c>
      <c r="J27" s="79">
        <f t="shared" si="0"/>
        <v>0.65887096774193554</v>
      </c>
      <c r="K27" s="79">
        <f t="shared" si="0"/>
        <v>0.12178941996938254</v>
      </c>
      <c r="L27" s="79">
        <f t="shared" si="0"/>
        <v>0.9569031080464433</v>
      </c>
      <c r="M27" s="79">
        <f t="shared" si="0"/>
        <v>0.9569031080464433</v>
      </c>
      <c r="N27" s="79">
        <f t="shared" si="0"/>
        <v>1.4343296864366853E-2</v>
      </c>
      <c r="O27" s="79">
        <f t="shared" si="0"/>
        <v>0.9853694220921726</v>
      </c>
      <c r="P27" s="79">
        <f t="shared" si="0"/>
        <v>0.99149044725261715</v>
      </c>
      <c r="Q27" s="79">
        <f t="shared" si="0"/>
        <v>0.6794294294294293</v>
      </c>
      <c r="R27" s="79">
        <f t="shared" si="0"/>
        <v>0.13452612369579875</v>
      </c>
      <c r="S27" s="79">
        <f t="shared" si="0"/>
        <v>0.95967233774417127</v>
      </c>
      <c r="T27" s="79">
        <f t="shared" si="0"/>
        <v>0.95967233774417127</v>
      </c>
      <c r="U27" s="79">
        <f t="shared" si="0"/>
        <v>1.5857597319021831E-2</v>
      </c>
      <c r="V27" s="79">
        <f t="shared" si="0"/>
        <v>0.98543858426809738</v>
      </c>
      <c r="X27" s="4" t="s">
        <v>116</v>
      </c>
    </row>
    <row r="28" spans="1:24" x14ac:dyDescent="0.25">
      <c r="B28" s="79">
        <f>SUMIFS(B8:B25,$X8:$X25,$X28)/B7</f>
        <v>1.5308329728110752E-3</v>
      </c>
      <c r="C28" s="79">
        <f t="shared" ref="C28:V28" si="1">SUMIFS(C8:C25,$X8:$X25,$X28)/C7</f>
        <v>2.1739130434782612E-2</v>
      </c>
      <c r="D28" s="79">
        <f t="shared" si="1"/>
        <v>0.68875739644970413</v>
      </c>
      <c r="E28" s="79">
        <f t="shared" si="1"/>
        <v>1.8436873747494989E-2</v>
      </c>
      <c r="F28" s="79">
        <f t="shared" si="1"/>
        <v>1.8436873747494989E-2</v>
      </c>
      <c r="G28" s="79">
        <f t="shared" si="1"/>
        <v>0.96434577867473936</v>
      </c>
      <c r="H28" s="79">
        <f t="shared" si="1"/>
        <v>1.3355287230150019E-2</v>
      </c>
      <c r="I28" s="79">
        <f t="shared" si="1"/>
        <v>3.4623078181655049E-3</v>
      </c>
      <c r="J28" s="79">
        <f t="shared" si="1"/>
        <v>2.8225806451612902E-2</v>
      </c>
      <c r="K28" s="79">
        <f t="shared" si="1"/>
        <v>0.78503997278448712</v>
      </c>
      <c r="L28" s="79">
        <f t="shared" si="1"/>
        <v>3.3869086852912844E-2</v>
      </c>
      <c r="M28" s="79">
        <f t="shared" si="1"/>
        <v>3.3869086852912844E-2</v>
      </c>
      <c r="N28" s="79">
        <f t="shared" si="1"/>
        <v>0.97989844527037639</v>
      </c>
      <c r="O28" s="79">
        <f t="shared" si="1"/>
        <v>1.2931943015138928E-2</v>
      </c>
      <c r="P28" s="79">
        <f t="shared" si="1"/>
        <v>3.1933599978133912E-3</v>
      </c>
      <c r="Q28" s="79">
        <f t="shared" si="1"/>
        <v>2.8528528528528527E-2</v>
      </c>
      <c r="R28" s="79">
        <f t="shared" si="1"/>
        <v>0.77855357638751133</v>
      </c>
      <c r="S28" s="79">
        <f t="shared" si="1"/>
        <v>3.2136105860113423E-2</v>
      </c>
      <c r="T28" s="79">
        <f t="shared" si="1"/>
        <v>3.2136105860113423E-2</v>
      </c>
      <c r="U28" s="79">
        <f t="shared" si="1"/>
        <v>0.97877558949950227</v>
      </c>
      <c r="V28" s="79">
        <f t="shared" si="1"/>
        <v>1.2958963282937363E-2</v>
      </c>
      <c r="X28" s="4" t="s">
        <v>115</v>
      </c>
    </row>
    <row r="29" spans="1:24" x14ac:dyDescent="0.25">
      <c r="B29" s="79">
        <f>SUMIFS(B8:B25,$X8:$X25,$X29)/B7</f>
        <v>9.9836933009417959E-5</v>
      </c>
      <c r="C29" s="79">
        <f t="shared" ref="C29:V29" si="2">SUMIFS(C8:C25,$X8:$X25,$X29)/C7</f>
        <v>0</v>
      </c>
      <c r="D29" s="79">
        <f t="shared" si="2"/>
        <v>0</v>
      </c>
      <c r="E29" s="79">
        <f t="shared" si="2"/>
        <v>0</v>
      </c>
      <c r="F29" s="79">
        <f t="shared" si="2"/>
        <v>0</v>
      </c>
      <c r="G29" s="79">
        <f t="shared" si="2"/>
        <v>0</v>
      </c>
      <c r="H29" s="79">
        <f t="shared" si="2"/>
        <v>0</v>
      </c>
      <c r="I29" s="79">
        <f t="shared" si="2"/>
        <v>1.7469876338609481E-3</v>
      </c>
      <c r="J29" s="79">
        <f t="shared" si="2"/>
        <v>2.4193548387096771E-3</v>
      </c>
      <c r="K29" s="79">
        <f t="shared" si="2"/>
        <v>5.1029086579350237E-4</v>
      </c>
      <c r="L29" s="79">
        <f t="shared" si="2"/>
        <v>1.0647467423819906E-3</v>
      </c>
      <c r="M29" s="79">
        <f t="shared" si="2"/>
        <v>1.0647467423819906E-3</v>
      </c>
      <c r="N29" s="79">
        <f t="shared" si="2"/>
        <v>6.2817358530073799E-4</v>
      </c>
      <c r="O29" s="79">
        <f t="shared" si="2"/>
        <v>3.0996987092854575E-4</v>
      </c>
      <c r="P29" s="79">
        <f t="shared" si="2"/>
        <v>1.526070755017812E-3</v>
      </c>
      <c r="Q29" s="79">
        <f t="shared" si="2"/>
        <v>2.2522522522522518E-3</v>
      </c>
      <c r="R29" s="79">
        <f t="shared" si="2"/>
        <v>4.7605823779108979E-4</v>
      </c>
      <c r="S29" s="79">
        <f t="shared" si="2"/>
        <v>9.451795841209829E-4</v>
      </c>
      <c r="T29" s="79">
        <f t="shared" si="2"/>
        <v>9.451795841209829E-4</v>
      </c>
      <c r="U29" s="79">
        <f t="shared" si="2"/>
        <v>5.8282134097476868E-4</v>
      </c>
      <c r="V29" s="79">
        <f t="shared" si="2"/>
        <v>2.9029935669662557E-4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4.3912196718196642E-3</v>
      </c>
      <c r="J30" s="79">
        <f t="shared" si="3"/>
        <v>0.31048387096774194</v>
      </c>
      <c r="K30" s="79">
        <f t="shared" si="3"/>
        <v>9.2617792141520675E-2</v>
      </c>
      <c r="L30" s="79">
        <f t="shared" si="3"/>
        <v>8.2137605840896417E-3</v>
      </c>
      <c r="M30" s="79">
        <f t="shared" si="3"/>
        <v>8.2137605840896417E-3</v>
      </c>
      <c r="N30" s="79">
        <f t="shared" si="3"/>
        <v>5.1562581793435577E-3</v>
      </c>
      <c r="O30" s="79">
        <f t="shared" si="3"/>
        <v>1.3762662269227431E-3</v>
      </c>
      <c r="P30" s="79">
        <f t="shared" si="3"/>
        <v>3.7901219945516997E-3</v>
      </c>
      <c r="Q30" s="79">
        <f t="shared" si="3"/>
        <v>0.28903903903903899</v>
      </c>
      <c r="R30" s="79">
        <f t="shared" si="3"/>
        <v>8.6404570159082802E-2</v>
      </c>
      <c r="S30" s="79">
        <f t="shared" si="3"/>
        <v>7.2913853632190113E-3</v>
      </c>
      <c r="T30" s="79">
        <f t="shared" si="3"/>
        <v>7.2913853632190113E-3</v>
      </c>
      <c r="U30" s="79">
        <f t="shared" si="3"/>
        <v>4.7839918405012264E-3</v>
      </c>
      <c r="V30" s="79">
        <f t="shared" si="3"/>
        <v>1.2889291437330175E-3</v>
      </c>
      <c r="X30" s="4" t="s">
        <v>113</v>
      </c>
    </row>
    <row r="33" spans="1:24" x14ac:dyDescent="0.25">
      <c r="A33" t="s">
        <v>321</v>
      </c>
    </row>
    <row r="34" spans="1:24" x14ac:dyDescent="0.25">
      <c r="A34" s="77" t="s">
        <v>217</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3.0049000000000001</v>
      </c>
      <c r="C38">
        <v>9.1999999999999998E-3</v>
      </c>
      <c r="D38">
        <v>0.16900000000000001</v>
      </c>
      <c r="E38">
        <v>0.2495</v>
      </c>
      <c r="F38">
        <v>0.2495</v>
      </c>
      <c r="G38">
        <v>0.29730000000000001</v>
      </c>
      <c r="H38">
        <v>0.54659999999999997</v>
      </c>
      <c r="I38">
        <v>18.946899999999999</v>
      </c>
      <c r="J38">
        <v>0.124</v>
      </c>
      <c r="K38">
        <v>2.3515999999999999</v>
      </c>
      <c r="L38">
        <v>0.67630000000000001</v>
      </c>
      <c r="M38">
        <v>0.67630000000000001</v>
      </c>
      <c r="N38">
        <v>1.9857</v>
      </c>
      <c r="O38">
        <v>8.0653000000000006</v>
      </c>
      <c r="P38">
        <v>21.951799999999999</v>
      </c>
      <c r="Q38">
        <v>0.13320000000000001</v>
      </c>
      <c r="R38">
        <v>2.5207000000000002</v>
      </c>
      <c r="S38">
        <v>0.92589999999999995</v>
      </c>
      <c r="T38">
        <v>0.92589999999999995</v>
      </c>
      <c r="U38">
        <v>2.2829999999999999</v>
      </c>
      <c r="V38">
        <v>8.6118000000000006</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7.0000000000000001E-3</v>
      </c>
      <c r="E41">
        <v>2.0000000000000001E-4</v>
      </c>
      <c r="F41">
        <v>2.0000000000000001E-4</v>
      </c>
      <c r="G41">
        <v>4.8999999999999998E-3</v>
      </c>
      <c r="H41">
        <v>2.9999999999999997E-4</v>
      </c>
      <c r="I41">
        <v>1.35E-2</v>
      </c>
      <c r="J41">
        <v>6.9999999999999999E-4</v>
      </c>
      <c r="K41">
        <v>0.54069999999999996</v>
      </c>
      <c r="L41">
        <v>7.6E-3</v>
      </c>
      <c r="M41">
        <v>7.6E-3</v>
      </c>
      <c r="N41">
        <v>0.39319999999999999</v>
      </c>
      <c r="O41">
        <v>2.1399999999999999E-2</v>
      </c>
      <c r="P41">
        <v>1.3599999999999999E-2</v>
      </c>
      <c r="Q41">
        <v>6.9999999999999999E-4</v>
      </c>
      <c r="R41">
        <v>0.54769999999999996</v>
      </c>
      <c r="S41">
        <v>7.7999999999999996E-3</v>
      </c>
      <c r="T41">
        <v>7.7999999999999996E-3</v>
      </c>
      <c r="U41">
        <v>0.39810000000000001</v>
      </c>
      <c r="V41">
        <v>2.1700000000000001E-2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2.8899999999999999E-2</v>
      </c>
      <c r="J44">
        <v>2.9999999999999997E-4</v>
      </c>
      <c r="K44">
        <v>1E-3</v>
      </c>
      <c r="L44">
        <v>4.0000000000000002E-4</v>
      </c>
      <c r="M44">
        <v>4.0000000000000002E-4</v>
      </c>
      <c r="N44">
        <v>1E-3</v>
      </c>
      <c r="O44">
        <v>2.2000000000000001E-3</v>
      </c>
      <c r="P44">
        <v>2.9000000000000001E-2</v>
      </c>
      <c r="Q44">
        <v>2.9999999999999997E-4</v>
      </c>
      <c r="R44">
        <v>1E-3</v>
      </c>
      <c r="S44">
        <v>4.0000000000000002E-4</v>
      </c>
      <c r="T44">
        <v>4.0000000000000002E-4</v>
      </c>
      <c r="U44">
        <v>1.1000000000000001E-3</v>
      </c>
      <c r="V44">
        <v>2.2000000000000001E-3</v>
      </c>
      <c r="W44" s="4" t="s">
        <v>122</v>
      </c>
      <c r="X44" s="4" t="s">
        <v>114</v>
      </c>
    </row>
    <row r="45" spans="1:24" x14ac:dyDescent="0.25">
      <c r="A45" s="4">
        <v>2104004000</v>
      </c>
      <c r="B45">
        <v>4.4000000000000003E-3</v>
      </c>
      <c r="C45">
        <v>2.0000000000000001E-4</v>
      </c>
      <c r="D45">
        <v>0.1094</v>
      </c>
      <c r="E45">
        <v>4.4000000000000003E-3</v>
      </c>
      <c r="F45">
        <v>4.4000000000000003E-3</v>
      </c>
      <c r="G45">
        <v>0.28179999999999999</v>
      </c>
      <c r="H45">
        <v>7.0000000000000001E-3</v>
      </c>
      <c r="I45">
        <v>5.21E-2</v>
      </c>
      <c r="J45">
        <v>2.8E-3</v>
      </c>
      <c r="K45">
        <v>1.3053999999999999</v>
      </c>
      <c r="L45">
        <v>1.34E-2</v>
      </c>
      <c r="M45">
        <v>1.34E-2</v>
      </c>
      <c r="N45">
        <v>1.5267999999999999</v>
      </c>
      <c r="O45">
        <v>8.2900000000000001E-2</v>
      </c>
      <c r="P45">
        <v>5.6500000000000002E-2</v>
      </c>
      <c r="Q45">
        <v>3.0999999999999999E-3</v>
      </c>
      <c r="R45">
        <v>1.4148000000000001</v>
      </c>
      <c r="S45">
        <v>1.78E-2</v>
      </c>
      <c r="T45">
        <v>1.78E-2</v>
      </c>
      <c r="U45">
        <v>1.8086</v>
      </c>
      <c r="V45">
        <v>8.9899999999999994E-2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0.1103</v>
      </c>
      <c r="C47">
        <v>8.0000000000000004E-4</v>
      </c>
      <c r="D47">
        <v>1.1000000000000001E-3</v>
      </c>
      <c r="E47">
        <v>1.5100000000000001E-2</v>
      </c>
      <c r="F47">
        <v>1.5100000000000001E-2</v>
      </c>
      <c r="G47">
        <v>2.0000000000000001E-4</v>
      </c>
      <c r="H47">
        <v>0.1</v>
      </c>
      <c r="I47">
        <v>6.6029999999999998</v>
      </c>
      <c r="J47">
        <v>4.7100000000000003E-2</v>
      </c>
      <c r="K47">
        <v>6.8000000000000005E-2</v>
      </c>
      <c r="L47">
        <v>0.24199999999999999</v>
      </c>
      <c r="M47">
        <v>0.24199999999999999</v>
      </c>
      <c r="N47">
        <v>5.7999999999999996E-3</v>
      </c>
      <c r="O47">
        <v>5.9861000000000004</v>
      </c>
      <c r="P47">
        <v>6.7133000000000003</v>
      </c>
      <c r="Q47">
        <v>4.7800000000000002E-2</v>
      </c>
      <c r="R47">
        <v>6.9099999999999995E-2</v>
      </c>
      <c r="S47">
        <v>0.2571</v>
      </c>
      <c r="T47">
        <v>0.2571</v>
      </c>
      <c r="U47">
        <v>6.0000000000000001E-3</v>
      </c>
      <c r="V47">
        <v>6.0861000000000001</v>
      </c>
      <c r="W47" s="4" t="s">
        <v>125</v>
      </c>
      <c r="X47" s="4" t="s">
        <v>116</v>
      </c>
    </row>
    <row r="48" spans="1:24" x14ac:dyDescent="0.25">
      <c r="A48" s="4">
        <v>2104008210</v>
      </c>
      <c r="B48">
        <v>5.5100000000000003E-2</v>
      </c>
      <c r="C48">
        <v>4.0000000000000002E-4</v>
      </c>
      <c r="D48">
        <v>6.9999999999999999E-4</v>
      </c>
      <c r="E48">
        <v>7.3000000000000001E-3</v>
      </c>
      <c r="F48">
        <v>7.3000000000000001E-3</v>
      </c>
      <c r="G48">
        <v>1E-4</v>
      </c>
      <c r="H48">
        <v>1.26E-2</v>
      </c>
      <c r="I48">
        <v>0.2281</v>
      </c>
      <c r="J48">
        <v>1.6999999999999999E-3</v>
      </c>
      <c r="K48">
        <v>2.8E-3</v>
      </c>
      <c r="L48">
        <v>7.7999999999999996E-3</v>
      </c>
      <c r="M48">
        <v>7.7999999999999996E-3</v>
      </c>
      <c r="N48">
        <v>2.0000000000000001E-4</v>
      </c>
      <c r="O48">
        <v>5.2400000000000002E-2</v>
      </c>
      <c r="P48">
        <v>0.28320000000000001</v>
      </c>
      <c r="Q48">
        <v>2.0999999999999999E-3</v>
      </c>
      <c r="R48">
        <v>3.3999999999999998E-3</v>
      </c>
      <c r="S48">
        <v>1.5100000000000001E-2</v>
      </c>
      <c r="T48">
        <v>1.5100000000000001E-2</v>
      </c>
      <c r="U48">
        <v>2.9999999999999997E-4</v>
      </c>
      <c r="V48">
        <v>6.5000000000000002E-2</v>
      </c>
      <c r="W48" s="4" t="s">
        <v>126</v>
      </c>
      <c r="X48" s="4" t="s">
        <v>116</v>
      </c>
    </row>
    <row r="49" spans="1:24" x14ac:dyDescent="0.25">
      <c r="A49" s="4">
        <v>2104008220</v>
      </c>
      <c r="B49">
        <v>0.12770000000000001</v>
      </c>
      <c r="C49">
        <v>8.0000000000000004E-4</v>
      </c>
      <c r="D49">
        <v>1.8E-3</v>
      </c>
      <c r="E49">
        <v>1.09E-2</v>
      </c>
      <c r="F49">
        <v>1.09E-2</v>
      </c>
      <c r="G49">
        <v>4.0000000000000002E-4</v>
      </c>
      <c r="H49">
        <v>1.09E-2</v>
      </c>
      <c r="I49">
        <v>0.5292</v>
      </c>
      <c r="J49">
        <v>3.3999999999999998E-3</v>
      </c>
      <c r="K49">
        <v>7.4999999999999997E-3</v>
      </c>
      <c r="L49">
        <v>2.0500000000000001E-2</v>
      </c>
      <c r="M49">
        <v>2.0500000000000001E-2</v>
      </c>
      <c r="N49">
        <v>1.4E-3</v>
      </c>
      <c r="O49">
        <v>4.5100000000000001E-2</v>
      </c>
      <c r="P49">
        <v>0.65690000000000004</v>
      </c>
      <c r="Q49">
        <v>4.1999999999999997E-3</v>
      </c>
      <c r="R49">
        <v>9.2999999999999992E-3</v>
      </c>
      <c r="S49">
        <v>3.1399999999999997E-2</v>
      </c>
      <c r="T49">
        <v>3.1399999999999997E-2</v>
      </c>
      <c r="U49">
        <v>1.8E-3</v>
      </c>
      <c r="V49">
        <v>5.6000000000000001E-2</v>
      </c>
      <c r="W49" s="4" t="s">
        <v>127</v>
      </c>
      <c r="X49" s="4" t="s">
        <v>116</v>
      </c>
    </row>
    <row r="50" spans="1:24" x14ac:dyDescent="0.25">
      <c r="A50" s="4">
        <v>2104008230</v>
      </c>
      <c r="B50">
        <v>0.1411</v>
      </c>
      <c r="C50">
        <v>1.1999999999999999E-3</v>
      </c>
      <c r="D50">
        <v>2.5999999999999999E-3</v>
      </c>
      <c r="E50">
        <v>1.7100000000000001E-2</v>
      </c>
      <c r="F50">
        <v>1.7100000000000001E-2</v>
      </c>
      <c r="G50">
        <v>5.0000000000000001E-4</v>
      </c>
      <c r="H50">
        <v>1.9800000000000002E-2</v>
      </c>
      <c r="I50">
        <v>0.58450000000000002</v>
      </c>
      <c r="J50">
        <v>4.8999999999999998E-3</v>
      </c>
      <c r="K50">
        <v>1.09E-2</v>
      </c>
      <c r="L50">
        <v>2.9100000000000001E-2</v>
      </c>
      <c r="M50">
        <v>2.9100000000000001E-2</v>
      </c>
      <c r="N50">
        <v>2E-3</v>
      </c>
      <c r="O50">
        <v>8.1900000000000001E-2</v>
      </c>
      <c r="P50">
        <v>0.72560000000000002</v>
      </c>
      <c r="Q50">
        <v>6.1000000000000004E-3</v>
      </c>
      <c r="R50">
        <v>1.3599999999999999E-2</v>
      </c>
      <c r="S50">
        <v>4.6300000000000001E-2</v>
      </c>
      <c r="T50">
        <v>4.6300000000000001E-2</v>
      </c>
      <c r="U50">
        <v>2.5000000000000001E-3</v>
      </c>
      <c r="V50">
        <v>0.1017</v>
      </c>
      <c r="W50" s="4" t="s">
        <v>128</v>
      </c>
      <c r="X50" s="4" t="s">
        <v>116</v>
      </c>
    </row>
    <row r="51" spans="1:24" x14ac:dyDescent="0.25">
      <c r="A51" s="4">
        <v>2104008310</v>
      </c>
      <c r="B51">
        <v>0.23649999999999999</v>
      </c>
      <c r="C51">
        <v>8.0000000000000004E-4</v>
      </c>
      <c r="D51">
        <v>2.8E-3</v>
      </c>
      <c r="E51">
        <v>2.3699999999999999E-2</v>
      </c>
      <c r="F51">
        <v>2.3699999999999999E-2</v>
      </c>
      <c r="G51">
        <v>8.0000000000000004E-4</v>
      </c>
      <c r="H51">
        <v>0.10340000000000001</v>
      </c>
      <c r="I51">
        <v>0.97989999999999999</v>
      </c>
      <c r="J51">
        <v>3.2000000000000002E-3</v>
      </c>
      <c r="K51">
        <v>1.17E-2</v>
      </c>
      <c r="L51">
        <v>2.58E-2</v>
      </c>
      <c r="M51">
        <v>2.58E-2</v>
      </c>
      <c r="N51">
        <v>1.8E-3</v>
      </c>
      <c r="O51">
        <v>0.42859999999999998</v>
      </c>
      <c r="P51">
        <v>1.2163999999999999</v>
      </c>
      <c r="Q51">
        <v>4.0000000000000001E-3</v>
      </c>
      <c r="R51">
        <v>1.46E-2</v>
      </c>
      <c r="S51">
        <v>4.9500000000000002E-2</v>
      </c>
      <c r="T51">
        <v>4.9500000000000002E-2</v>
      </c>
      <c r="U51">
        <v>2.5000000000000001E-3</v>
      </c>
      <c r="V51">
        <v>0.53210000000000002</v>
      </c>
      <c r="W51" s="4" t="s">
        <v>129</v>
      </c>
      <c r="X51" s="4" t="s">
        <v>116</v>
      </c>
    </row>
    <row r="52" spans="1:24" x14ac:dyDescent="0.25">
      <c r="A52" s="4">
        <v>2104008320</v>
      </c>
      <c r="B52">
        <v>0.91759999999999997</v>
      </c>
      <c r="C52">
        <v>1.9E-3</v>
      </c>
      <c r="D52">
        <v>1.1900000000000001E-2</v>
      </c>
      <c r="E52">
        <v>5.8799999999999998E-2</v>
      </c>
      <c r="F52">
        <v>5.8799999999999998E-2</v>
      </c>
      <c r="G52">
        <v>3.0000000000000001E-3</v>
      </c>
      <c r="H52">
        <v>8.9099999999999999E-2</v>
      </c>
      <c r="I52">
        <v>3.8018999999999998</v>
      </c>
      <c r="J52">
        <v>7.7000000000000002E-3</v>
      </c>
      <c r="K52">
        <v>4.9500000000000002E-2</v>
      </c>
      <c r="L52">
        <v>0.10970000000000001</v>
      </c>
      <c r="M52">
        <v>0.10970000000000001</v>
      </c>
      <c r="N52">
        <v>1.15E-2</v>
      </c>
      <c r="O52">
        <v>0.36899999999999999</v>
      </c>
      <c r="P52">
        <v>4.7194000000000003</v>
      </c>
      <c r="Q52">
        <v>9.4999999999999998E-3</v>
      </c>
      <c r="R52">
        <v>6.1400000000000003E-2</v>
      </c>
      <c r="S52">
        <v>0.16850000000000001</v>
      </c>
      <c r="T52">
        <v>0.16850000000000001</v>
      </c>
      <c r="U52">
        <v>1.44E-2</v>
      </c>
      <c r="V52">
        <v>0.45800000000000002</v>
      </c>
      <c r="W52" s="4" t="s">
        <v>130</v>
      </c>
      <c r="X52" s="4" t="s">
        <v>116</v>
      </c>
    </row>
    <row r="53" spans="1:24" x14ac:dyDescent="0.25">
      <c r="A53" s="4">
        <v>2104008330</v>
      </c>
      <c r="B53">
        <v>1.3338000000000001</v>
      </c>
      <c r="C53">
        <v>2.7000000000000001E-3</v>
      </c>
      <c r="D53">
        <v>1.7399999999999999E-2</v>
      </c>
      <c r="E53">
        <v>9.4899999999999998E-2</v>
      </c>
      <c r="F53">
        <v>9.4899999999999998E-2</v>
      </c>
      <c r="G53">
        <v>4.3E-3</v>
      </c>
      <c r="H53">
        <v>0.1618</v>
      </c>
      <c r="I53">
        <v>5.5262000000000002</v>
      </c>
      <c r="J53">
        <v>1.12E-2</v>
      </c>
      <c r="K53">
        <v>7.1900000000000006E-2</v>
      </c>
      <c r="L53">
        <v>0.1704</v>
      </c>
      <c r="M53">
        <v>0.1704</v>
      </c>
      <c r="N53">
        <v>1.67E-2</v>
      </c>
      <c r="O53">
        <v>0.6704</v>
      </c>
      <c r="P53">
        <v>6.86</v>
      </c>
      <c r="Q53">
        <v>1.3899999999999999E-2</v>
      </c>
      <c r="R53">
        <v>8.9300000000000004E-2</v>
      </c>
      <c r="S53">
        <v>0.26529999999999998</v>
      </c>
      <c r="T53">
        <v>0.26529999999999998</v>
      </c>
      <c r="U53">
        <v>2.1000000000000001E-2</v>
      </c>
      <c r="V53">
        <v>0.83220000000000005</v>
      </c>
      <c r="W53" s="4" t="s">
        <v>131</v>
      </c>
      <c r="X53" s="4" t="s">
        <v>116</v>
      </c>
    </row>
    <row r="54" spans="1:24" x14ac:dyDescent="0.25">
      <c r="A54" s="4">
        <v>2104008410</v>
      </c>
      <c r="B54">
        <v>3.0999999999999999E-3</v>
      </c>
      <c r="C54">
        <v>0</v>
      </c>
      <c r="D54">
        <v>1.2999999999999999E-3</v>
      </c>
      <c r="E54">
        <v>8.9999999999999998E-4</v>
      </c>
      <c r="F54">
        <v>8.9999999999999998E-4</v>
      </c>
      <c r="G54">
        <v>1E-4</v>
      </c>
      <c r="H54">
        <v>6.9999999999999999E-4</v>
      </c>
      <c r="I54">
        <v>1.2999999999999999E-2</v>
      </c>
      <c r="J54">
        <v>1E-4</v>
      </c>
      <c r="K54">
        <v>5.1999999999999998E-3</v>
      </c>
      <c r="L54">
        <v>1.6999999999999999E-3</v>
      </c>
      <c r="M54">
        <v>1.6999999999999999E-3</v>
      </c>
      <c r="N54">
        <v>4.0000000000000002E-4</v>
      </c>
      <c r="O54">
        <v>3.0000000000000001E-3</v>
      </c>
      <c r="P54">
        <v>1.61E-2</v>
      </c>
      <c r="Q54">
        <v>1E-4</v>
      </c>
      <c r="R54">
        <v>6.4999999999999997E-3</v>
      </c>
      <c r="S54">
        <v>2.5999999999999999E-3</v>
      </c>
      <c r="T54">
        <v>2.5999999999999999E-3</v>
      </c>
      <c r="U54">
        <v>5.0000000000000001E-4</v>
      </c>
      <c r="V54">
        <v>3.7000000000000002E-3</v>
      </c>
      <c r="W54" s="4" t="s">
        <v>132</v>
      </c>
      <c r="X54" s="4" t="s">
        <v>116</v>
      </c>
    </row>
    <row r="55" spans="1:24" x14ac:dyDescent="0.25">
      <c r="A55" s="4">
        <v>2104008420</v>
      </c>
      <c r="B55">
        <v>2.93E-2</v>
      </c>
      <c r="C55">
        <v>2.0000000000000001E-4</v>
      </c>
      <c r="D55">
        <v>1.18E-2</v>
      </c>
      <c r="E55">
        <v>8.6999999999999994E-3</v>
      </c>
      <c r="F55">
        <v>8.6999999999999994E-3</v>
      </c>
      <c r="G55">
        <v>8.9999999999999998E-4</v>
      </c>
      <c r="H55">
        <v>6.7999999999999996E-3</v>
      </c>
      <c r="I55">
        <v>0.1212</v>
      </c>
      <c r="J55">
        <v>8.9999999999999998E-4</v>
      </c>
      <c r="K55">
        <v>4.8899999999999999E-2</v>
      </c>
      <c r="L55">
        <v>1.5100000000000001E-2</v>
      </c>
      <c r="M55">
        <v>1.5100000000000001E-2</v>
      </c>
      <c r="N55">
        <v>3.3999999999999998E-3</v>
      </c>
      <c r="O55">
        <v>2.8000000000000001E-2</v>
      </c>
      <c r="P55">
        <v>0.15049999999999999</v>
      </c>
      <c r="Q55">
        <v>1.1000000000000001E-3</v>
      </c>
      <c r="R55">
        <v>6.0699999999999997E-2</v>
      </c>
      <c r="S55">
        <v>2.3800000000000002E-2</v>
      </c>
      <c r="T55">
        <v>2.3800000000000002E-2</v>
      </c>
      <c r="U55">
        <v>4.3E-3</v>
      </c>
      <c r="V55">
        <v>3.4700000000000002E-2</v>
      </c>
      <c r="W55" s="4" t="s">
        <v>133</v>
      </c>
      <c r="X55" s="4" t="s">
        <v>116</v>
      </c>
    </row>
    <row r="56" spans="1:24" x14ac:dyDescent="0.25">
      <c r="A56" s="4">
        <v>2104008610</v>
      </c>
      <c r="B56">
        <v>4.5400000000000003E-2</v>
      </c>
      <c r="C56">
        <v>2.0000000000000001E-4</v>
      </c>
      <c r="D56">
        <v>1.1999999999999999E-3</v>
      </c>
      <c r="E56">
        <v>7.4000000000000003E-3</v>
      </c>
      <c r="F56">
        <v>7.4000000000000003E-3</v>
      </c>
      <c r="G56">
        <v>2.9999999999999997E-4</v>
      </c>
      <c r="H56">
        <v>3.4099999999999998E-2</v>
      </c>
      <c r="I56">
        <v>0.37609999999999999</v>
      </c>
      <c r="J56">
        <v>1.5E-3</v>
      </c>
      <c r="K56">
        <v>0.01</v>
      </c>
      <c r="L56">
        <v>1.61E-2</v>
      </c>
      <c r="M56">
        <v>1.61E-2</v>
      </c>
      <c r="N56">
        <v>1.5E-3</v>
      </c>
      <c r="O56">
        <v>0.28189999999999998</v>
      </c>
      <c r="P56">
        <v>0.42149999999999999</v>
      </c>
      <c r="Q56">
        <v>1.6999999999999999E-3</v>
      </c>
      <c r="R56">
        <v>1.12E-2</v>
      </c>
      <c r="S56">
        <v>2.35E-2</v>
      </c>
      <c r="T56">
        <v>2.35E-2</v>
      </c>
      <c r="U56">
        <v>1.8E-3</v>
      </c>
      <c r="V56">
        <v>0.31590000000000001</v>
      </c>
      <c r="W56" s="4" t="s">
        <v>134</v>
      </c>
      <c r="X56" s="4" t="s">
        <v>116</v>
      </c>
    </row>
    <row r="58" spans="1:24" x14ac:dyDescent="0.25">
      <c r="B58" s="79">
        <f>SUMIFS(B39:B56,$X39:$X56,$X58)/B38</f>
        <v>0.9984358880495191</v>
      </c>
      <c r="C58" s="79">
        <f t="shared" ref="C58:V58" si="4">SUMIFS(C39:C56,$X39:$X56,$X58)/C38</f>
        <v>0.97826086956521752</v>
      </c>
      <c r="D58" s="79">
        <f t="shared" si="4"/>
        <v>0.31124260355029582</v>
      </c>
      <c r="E58" s="79">
        <f t="shared" si="4"/>
        <v>0.98116232464929853</v>
      </c>
      <c r="F58" s="79">
        <f t="shared" si="4"/>
        <v>0.98116232464929853</v>
      </c>
      <c r="G58" s="79">
        <f t="shared" si="4"/>
        <v>3.5654221325260672E-2</v>
      </c>
      <c r="H58" s="79">
        <f t="shared" si="4"/>
        <v>0.98682766190998905</v>
      </c>
      <c r="I58" s="79">
        <f t="shared" si="4"/>
        <v>0.99039420696789471</v>
      </c>
      <c r="J58" s="79">
        <f t="shared" si="4"/>
        <v>0.65887096774193554</v>
      </c>
      <c r="K58" s="79">
        <f t="shared" si="4"/>
        <v>0.12178941996938254</v>
      </c>
      <c r="L58" s="79">
        <f t="shared" si="4"/>
        <v>0.94410764453644835</v>
      </c>
      <c r="M58" s="79">
        <f t="shared" si="4"/>
        <v>0.94410764453644835</v>
      </c>
      <c r="N58" s="79">
        <f t="shared" si="4"/>
        <v>2.2510953316210905E-2</v>
      </c>
      <c r="O58" s="79">
        <f t="shared" si="4"/>
        <v>0.9853694220921726</v>
      </c>
      <c r="P58" s="79">
        <f t="shared" si="4"/>
        <v>0.99149044725261715</v>
      </c>
      <c r="Q58" s="79">
        <f t="shared" si="4"/>
        <v>0.6794294294294293</v>
      </c>
      <c r="R58" s="79">
        <f t="shared" si="4"/>
        <v>0.13452612369579875</v>
      </c>
      <c r="S58" s="79">
        <f t="shared" si="4"/>
        <v>0.95409871476401353</v>
      </c>
      <c r="T58" s="79">
        <f t="shared" si="4"/>
        <v>0.95409871476401353</v>
      </c>
      <c r="U58" s="79">
        <f t="shared" si="4"/>
        <v>2.4134910205869473E-2</v>
      </c>
      <c r="V58" s="79">
        <f t="shared" si="4"/>
        <v>0.98543858426809738</v>
      </c>
      <c r="X58" s="4" t="s">
        <v>116</v>
      </c>
    </row>
    <row r="59" spans="1:24" x14ac:dyDescent="0.25">
      <c r="B59" s="79">
        <f>SUMIFS(B39:B56,$X39:$X56,$X59)/B38</f>
        <v>1.5308329728110752E-3</v>
      </c>
      <c r="C59" s="79">
        <f t="shared" ref="C59:V59" si="5">SUMIFS(C39:C56,$X39:$X56,$X59)/C38</f>
        <v>2.1739130434782612E-2</v>
      </c>
      <c r="D59" s="79">
        <f t="shared" si="5"/>
        <v>0.68875739644970413</v>
      </c>
      <c r="E59" s="79">
        <f t="shared" si="5"/>
        <v>1.8436873747494989E-2</v>
      </c>
      <c r="F59" s="79">
        <f t="shared" si="5"/>
        <v>1.8436873747494989E-2</v>
      </c>
      <c r="G59" s="79">
        <f t="shared" si="5"/>
        <v>0.96434577867473936</v>
      </c>
      <c r="H59" s="79">
        <f t="shared" si="5"/>
        <v>1.3355287230150019E-2</v>
      </c>
      <c r="I59" s="79">
        <f t="shared" si="5"/>
        <v>3.4623078181655049E-3</v>
      </c>
      <c r="J59" s="79">
        <f t="shared" si="5"/>
        <v>2.8225806451612902E-2</v>
      </c>
      <c r="K59" s="79">
        <f t="shared" si="5"/>
        <v>0.78503997278448712</v>
      </c>
      <c r="L59" s="79">
        <f t="shared" si="5"/>
        <v>3.1051308590862046E-2</v>
      </c>
      <c r="M59" s="79">
        <f t="shared" si="5"/>
        <v>3.1051308590862046E-2</v>
      </c>
      <c r="N59" s="79">
        <f t="shared" si="5"/>
        <v>0.96691343103187788</v>
      </c>
      <c r="O59" s="79">
        <f t="shared" si="5"/>
        <v>1.2931943015138928E-2</v>
      </c>
      <c r="P59" s="79">
        <f t="shared" si="5"/>
        <v>3.1933599978133912E-3</v>
      </c>
      <c r="Q59" s="79">
        <f t="shared" si="5"/>
        <v>2.8528528528528527E-2</v>
      </c>
      <c r="R59" s="79">
        <f t="shared" si="5"/>
        <v>0.77855357638751133</v>
      </c>
      <c r="S59" s="79">
        <f t="shared" si="5"/>
        <v>2.7648774165676637E-2</v>
      </c>
      <c r="T59" s="79">
        <f t="shared" si="5"/>
        <v>2.7648774165676637E-2</v>
      </c>
      <c r="U59" s="79">
        <f t="shared" si="5"/>
        <v>0.96657906263688143</v>
      </c>
      <c r="V59" s="79">
        <f t="shared" si="5"/>
        <v>1.2958963282937363E-2</v>
      </c>
      <c r="X59" s="4" t="s">
        <v>115</v>
      </c>
    </row>
    <row r="60" spans="1:24" x14ac:dyDescent="0.25">
      <c r="B60" s="79">
        <f>SUMIFS(B39:B56,$X39:$X56,$X60)/B38</f>
        <v>9.9836933009417959E-5</v>
      </c>
      <c r="C60" s="79">
        <f t="shared" ref="C60:V60" si="6">SUMIFS(C39:C56,$X39:$X56,$X60)/C38</f>
        <v>0</v>
      </c>
      <c r="D60" s="79">
        <f t="shared" si="6"/>
        <v>0</v>
      </c>
      <c r="E60" s="79">
        <f t="shared" si="6"/>
        <v>0</v>
      </c>
      <c r="F60" s="79">
        <f t="shared" si="6"/>
        <v>0</v>
      </c>
      <c r="G60" s="79">
        <f t="shared" si="6"/>
        <v>0</v>
      </c>
      <c r="H60" s="79">
        <f t="shared" si="6"/>
        <v>0</v>
      </c>
      <c r="I60" s="79">
        <f t="shared" si="6"/>
        <v>1.7469876338609481E-3</v>
      </c>
      <c r="J60" s="79">
        <f t="shared" si="6"/>
        <v>2.4193548387096771E-3</v>
      </c>
      <c r="K60" s="79">
        <f t="shared" si="6"/>
        <v>5.1029086579350237E-4</v>
      </c>
      <c r="L60" s="79">
        <f t="shared" si="6"/>
        <v>1.0350436196954014E-3</v>
      </c>
      <c r="M60" s="79">
        <f t="shared" si="6"/>
        <v>1.0350436196954014E-3</v>
      </c>
      <c r="N60" s="79">
        <f t="shared" si="6"/>
        <v>6.5468096892783395E-4</v>
      </c>
      <c r="O60" s="79">
        <f t="shared" si="6"/>
        <v>3.0996987092854575E-4</v>
      </c>
      <c r="P60" s="79">
        <f t="shared" si="6"/>
        <v>1.526070755017812E-3</v>
      </c>
      <c r="Q60" s="79">
        <f t="shared" si="6"/>
        <v>2.2522522522522518E-3</v>
      </c>
      <c r="R60" s="79">
        <f t="shared" si="6"/>
        <v>4.7605823779108979E-4</v>
      </c>
      <c r="S60" s="79">
        <f t="shared" si="6"/>
        <v>7.5602116859272068E-4</v>
      </c>
      <c r="T60" s="79">
        <f t="shared" si="6"/>
        <v>7.5602116859272068E-4</v>
      </c>
      <c r="U60" s="79">
        <f t="shared" si="6"/>
        <v>6.1322820849759089E-4</v>
      </c>
      <c r="V60" s="79">
        <f t="shared" si="6"/>
        <v>2.9029935669662557E-4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4.3912196718196642E-3</v>
      </c>
      <c r="J61" s="79">
        <f t="shared" si="7"/>
        <v>0.31048387096774194</v>
      </c>
      <c r="K61" s="79">
        <f t="shared" si="7"/>
        <v>9.2617792141520675E-2</v>
      </c>
      <c r="L61" s="79">
        <f t="shared" si="7"/>
        <v>2.395386662723643E-2</v>
      </c>
      <c r="M61" s="79">
        <f t="shared" si="7"/>
        <v>2.395386662723643E-2</v>
      </c>
      <c r="N61" s="79">
        <f t="shared" si="7"/>
        <v>9.9209346829833307E-3</v>
      </c>
      <c r="O61" s="79">
        <f t="shared" si="7"/>
        <v>1.3762662269227431E-3</v>
      </c>
      <c r="P61" s="79">
        <f t="shared" si="7"/>
        <v>3.7901219945516997E-3</v>
      </c>
      <c r="Q61" s="79">
        <f t="shared" si="7"/>
        <v>0.28903903903903899</v>
      </c>
      <c r="R61" s="79">
        <f t="shared" si="7"/>
        <v>8.6404570159082802E-2</v>
      </c>
      <c r="S61" s="79">
        <f t="shared" si="7"/>
        <v>1.7496489901717246E-2</v>
      </c>
      <c r="T61" s="79">
        <f t="shared" si="7"/>
        <v>1.7496489901717246E-2</v>
      </c>
      <c r="U61" s="79">
        <f t="shared" si="7"/>
        <v>8.6289969338589571E-3</v>
      </c>
      <c r="V61" s="79">
        <f t="shared" si="7"/>
        <v>1.2889291437330175E-3</v>
      </c>
      <c r="X61" s="4" t="s">
        <v>113</v>
      </c>
    </row>
    <row r="64" spans="1:24" x14ac:dyDescent="0.25">
      <c r="A64" t="s">
        <v>322</v>
      </c>
    </row>
    <row r="65" spans="1:24" x14ac:dyDescent="0.25">
      <c r="A65" s="77" t="s">
        <v>218</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3.0049000000000001</v>
      </c>
      <c r="C69">
        <v>9.1999999999999998E-3</v>
      </c>
      <c r="D69">
        <v>0.16900000000000001</v>
      </c>
      <c r="E69">
        <v>0.2495</v>
      </c>
      <c r="F69">
        <v>0.2495</v>
      </c>
      <c r="G69">
        <v>0.29730000000000001</v>
      </c>
      <c r="H69">
        <v>0.54659999999999997</v>
      </c>
      <c r="I69">
        <v>18.946899999999999</v>
      </c>
      <c r="J69" s="78">
        <v>0.124</v>
      </c>
      <c r="K69" s="78">
        <v>2.3515999999999999</v>
      </c>
      <c r="L69">
        <v>0.67630000000000001</v>
      </c>
      <c r="M69" s="82">
        <v>0.67630000000000001</v>
      </c>
      <c r="N69" s="78">
        <v>1.9857</v>
      </c>
      <c r="O69" s="78">
        <v>8.0653000000000006</v>
      </c>
      <c r="P69">
        <v>21.951799999999999</v>
      </c>
      <c r="Q69" s="78">
        <v>0.13320000000000001</v>
      </c>
      <c r="R69" s="78">
        <v>2.5207000000000002</v>
      </c>
      <c r="S69">
        <v>0.92589999999999995</v>
      </c>
      <c r="T69" s="82">
        <v>0.92589999999999995</v>
      </c>
      <c r="U69" s="78">
        <v>2.2829999999999999</v>
      </c>
      <c r="V69" s="78">
        <v>8.6118000000000006</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7.0000000000000001E-3</v>
      </c>
      <c r="E72">
        <v>2.0000000000000001E-4</v>
      </c>
      <c r="F72">
        <v>2.0000000000000001E-4</v>
      </c>
      <c r="G72">
        <v>4.8999999999999998E-3</v>
      </c>
      <c r="H72">
        <v>2.9999999999999997E-4</v>
      </c>
      <c r="I72">
        <v>1.35E-2</v>
      </c>
      <c r="J72">
        <v>6.9999999999999999E-4</v>
      </c>
      <c r="K72">
        <v>0.54069999999999996</v>
      </c>
      <c r="L72">
        <v>7.6E-3</v>
      </c>
      <c r="M72">
        <v>7.6E-3</v>
      </c>
      <c r="N72">
        <v>0.39319999999999999</v>
      </c>
      <c r="O72">
        <v>2.1399999999999999E-2</v>
      </c>
      <c r="P72">
        <v>1.3599999999999999E-2</v>
      </c>
      <c r="Q72">
        <v>6.9999999999999999E-4</v>
      </c>
      <c r="R72">
        <v>0.54769999999999996</v>
      </c>
      <c r="S72">
        <v>7.7999999999999996E-3</v>
      </c>
      <c r="T72">
        <v>7.7999999999999996E-3</v>
      </c>
      <c r="U72">
        <v>0.39810000000000001</v>
      </c>
      <c r="V72">
        <v>2.1700000000000001E-2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2.8899999999999999E-2</v>
      </c>
      <c r="J75">
        <v>2.9999999999999997E-4</v>
      </c>
      <c r="K75">
        <v>1E-3</v>
      </c>
      <c r="L75">
        <v>4.0000000000000002E-4</v>
      </c>
      <c r="M75">
        <v>4.0000000000000002E-4</v>
      </c>
      <c r="N75">
        <v>1E-3</v>
      </c>
      <c r="O75">
        <v>2.2000000000000001E-3</v>
      </c>
      <c r="P75">
        <v>2.9000000000000001E-2</v>
      </c>
      <c r="Q75">
        <v>2.9999999999999997E-4</v>
      </c>
      <c r="R75">
        <v>1E-3</v>
      </c>
      <c r="S75">
        <v>4.0000000000000002E-4</v>
      </c>
      <c r="T75">
        <v>4.0000000000000002E-4</v>
      </c>
      <c r="U75">
        <v>1.1000000000000001E-3</v>
      </c>
      <c r="V75">
        <v>2.2000000000000001E-3</v>
      </c>
      <c r="W75" s="4" t="s">
        <v>122</v>
      </c>
      <c r="X75" s="4" t="s">
        <v>114</v>
      </c>
    </row>
    <row r="76" spans="1:24" x14ac:dyDescent="0.25">
      <c r="A76" s="4">
        <v>2104004000</v>
      </c>
      <c r="B76">
        <v>4.4000000000000003E-3</v>
      </c>
      <c r="C76">
        <v>2.0000000000000001E-4</v>
      </c>
      <c r="D76">
        <v>0.1094</v>
      </c>
      <c r="E76">
        <v>4.4000000000000003E-3</v>
      </c>
      <c r="F76">
        <v>4.4000000000000003E-3</v>
      </c>
      <c r="G76">
        <v>0.28179999999999999</v>
      </c>
      <c r="H76">
        <v>7.0000000000000001E-3</v>
      </c>
      <c r="I76">
        <v>5.21E-2</v>
      </c>
      <c r="J76">
        <v>2.8E-3</v>
      </c>
      <c r="K76">
        <v>1.3053999999999999</v>
      </c>
      <c r="L76">
        <v>1.34E-2</v>
      </c>
      <c r="M76">
        <v>1.34E-2</v>
      </c>
      <c r="N76">
        <v>1.5267999999999999</v>
      </c>
      <c r="O76">
        <v>8.2900000000000001E-2</v>
      </c>
      <c r="P76">
        <v>5.6500000000000002E-2</v>
      </c>
      <c r="Q76">
        <v>3.0999999999999999E-3</v>
      </c>
      <c r="R76">
        <v>1.4148000000000001</v>
      </c>
      <c r="S76">
        <v>1.78E-2</v>
      </c>
      <c r="T76">
        <v>1.78E-2</v>
      </c>
      <c r="U76">
        <v>1.8086</v>
      </c>
      <c r="V76">
        <v>8.9899999999999994E-2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0.1103</v>
      </c>
      <c r="C78">
        <v>8.0000000000000004E-4</v>
      </c>
      <c r="D78">
        <v>1.1000000000000001E-3</v>
      </c>
      <c r="E78">
        <v>1.5100000000000001E-2</v>
      </c>
      <c r="F78">
        <v>1.5100000000000001E-2</v>
      </c>
      <c r="G78">
        <v>2.0000000000000001E-4</v>
      </c>
      <c r="H78">
        <v>0.1</v>
      </c>
      <c r="I78">
        <v>6.6029999999999998</v>
      </c>
      <c r="J78">
        <v>4.7100000000000003E-2</v>
      </c>
      <c r="K78">
        <v>6.8000000000000005E-2</v>
      </c>
      <c r="L78">
        <v>0.24199999999999999</v>
      </c>
      <c r="M78">
        <v>0.24199999999999999</v>
      </c>
      <c r="N78">
        <v>5.7999999999999996E-3</v>
      </c>
      <c r="O78">
        <v>5.9861000000000004</v>
      </c>
      <c r="P78">
        <v>6.7133000000000003</v>
      </c>
      <c r="Q78">
        <v>4.7800000000000002E-2</v>
      </c>
      <c r="R78">
        <v>6.9099999999999995E-2</v>
      </c>
      <c r="S78">
        <v>0.2571</v>
      </c>
      <c r="T78">
        <v>0.2571</v>
      </c>
      <c r="U78">
        <v>6.0000000000000001E-3</v>
      </c>
      <c r="V78">
        <v>6.0861000000000001</v>
      </c>
      <c r="W78" s="4" t="s">
        <v>125</v>
      </c>
      <c r="X78" s="4" t="s">
        <v>116</v>
      </c>
    </row>
    <row r="79" spans="1:24" x14ac:dyDescent="0.25">
      <c r="A79" s="4">
        <v>2104008210</v>
      </c>
      <c r="B79">
        <v>5.5100000000000003E-2</v>
      </c>
      <c r="C79">
        <v>4.0000000000000002E-4</v>
      </c>
      <c r="D79">
        <v>6.9999999999999999E-4</v>
      </c>
      <c r="E79">
        <v>7.3000000000000001E-3</v>
      </c>
      <c r="F79">
        <v>7.3000000000000001E-3</v>
      </c>
      <c r="G79">
        <v>1E-4</v>
      </c>
      <c r="H79">
        <v>1.26E-2</v>
      </c>
      <c r="I79">
        <v>0.2281</v>
      </c>
      <c r="J79">
        <v>1.6999999999999999E-3</v>
      </c>
      <c r="K79">
        <v>2.8E-3</v>
      </c>
      <c r="L79">
        <v>7.7999999999999996E-3</v>
      </c>
      <c r="M79">
        <v>7.7999999999999996E-3</v>
      </c>
      <c r="N79">
        <v>2.0000000000000001E-4</v>
      </c>
      <c r="O79">
        <v>5.2400000000000002E-2</v>
      </c>
      <c r="P79">
        <v>0.28320000000000001</v>
      </c>
      <c r="Q79">
        <v>2.0999999999999999E-3</v>
      </c>
      <c r="R79">
        <v>3.3999999999999998E-3</v>
      </c>
      <c r="S79">
        <v>1.5100000000000001E-2</v>
      </c>
      <c r="T79">
        <v>1.5100000000000001E-2</v>
      </c>
      <c r="U79">
        <v>2.9999999999999997E-4</v>
      </c>
      <c r="V79">
        <v>6.5000000000000002E-2</v>
      </c>
      <c r="W79" s="4" t="s">
        <v>126</v>
      </c>
      <c r="X79" s="4" t="s">
        <v>116</v>
      </c>
    </row>
    <row r="80" spans="1:24" x14ac:dyDescent="0.25">
      <c r="A80" s="4">
        <v>2104008220</v>
      </c>
      <c r="B80">
        <v>0.12770000000000001</v>
      </c>
      <c r="C80">
        <v>8.0000000000000004E-4</v>
      </c>
      <c r="D80">
        <v>1.8E-3</v>
      </c>
      <c r="E80">
        <v>1.09E-2</v>
      </c>
      <c r="F80">
        <v>1.09E-2</v>
      </c>
      <c r="G80">
        <v>4.0000000000000002E-4</v>
      </c>
      <c r="H80">
        <v>1.09E-2</v>
      </c>
      <c r="I80">
        <v>0.5292</v>
      </c>
      <c r="J80">
        <v>3.3999999999999998E-3</v>
      </c>
      <c r="K80">
        <v>7.4999999999999997E-3</v>
      </c>
      <c r="L80">
        <v>2.0500000000000001E-2</v>
      </c>
      <c r="M80">
        <v>2.0500000000000001E-2</v>
      </c>
      <c r="N80">
        <v>1.4E-3</v>
      </c>
      <c r="O80">
        <v>4.5100000000000001E-2</v>
      </c>
      <c r="P80">
        <v>0.65690000000000004</v>
      </c>
      <c r="Q80">
        <v>4.1999999999999997E-3</v>
      </c>
      <c r="R80">
        <v>9.2999999999999992E-3</v>
      </c>
      <c r="S80">
        <v>3.1399999999999997E-2</v>
      </c>
      <c r="T80">
        <v>3.1399999999999997E-2</v>
      </c>
      <c r="U80">
        <v>1.8E-3</v>
      </c>
      <c r="V80">
        <v>5.6000000000000001E-2</v>
      </c>
      <c r="W80" s="4" t="s">
        <v>127</v>
      </c>
      <c r="X80" s="4" t="s">
        <v>116</v>
      </c>
    </row>
    <row r="81" spans="1:24" x14ac:dyDescent="0.25">
      <c r="A81" s="4">
        <v>2104008230</v>
      </c>
      <c r="B81">
        <v>0.1411</v>
      </c>
      <c r="C81">
        <v>1.1999999999999999E-3</v>
      </c>
      <c r="D81">
        <v>2.5999999999999999E-3</v>
      </c>
      <c r="E81">
        <v>1.7100000000000001E-2</v>
      </c>
      <c r="F81">
        <v>1.7100000000000001E-2</v>
      </c>
      <c r="G81">
        <v>5.0000000000000001E-4</v>
      </c>
      <c r="H81">
        <v>1.9800000000000002E-2</v>
      </c>
      <c r="I81">
        <v>0.58450000000000002</v>
      </c>
      <c r="J81">
        <v>4.8999999999999998E-3</v>
      </c>
      <c r="K81">
        <v>1.09E-2</v>
      </c>
      <c r="L81">
        <v>2.9100000000000001E-2</v>
      </c>
      <c r="M81">
        <v>2.9100000000000001E-2</v>
      </c>
      <c r="N81">
        <v>2E-3</v>
      </c>
      <c r="O81">
        <v>8.1900000000000001E-2</v>
      </c>
      <c r="P81">
        <v>0.72560000000000002</v>
      </c>
      <c r="Q81">
        <v>6.1000000000000004E-3</v>
      </c>
      <c r="R81">
        <v>1.3599999999999999E-2</v>
      </c>
      <c r="S81">
        <v>4.6300000000000001E-2</v>
      </c>
      <c r="T81">
        <v>4.6300000000000001E-2</v>
      </c>
      <c r="U81">
        <v>2.5000000000000001E-3</v>
      </c>
      <c r="V81">
        <v>0.1017</v>
      </c>
      <c r="W81" s="4" t="s">
        <v>128</v>
      </c>
      <c r="X81" s="4" t="s">
        <v>116</v>
      </c>
    </row>
    <row r="82" spans="1:24" x14ac:dyDescent="0.25">
      <c r="A82" s="4">
        <v>2104008310</v>
      </c>
      <c r="B82">
        <v>0.23649999999999999</v>
      </c>
      <c r="C82">
        <v>8.0000000000000004E-4</v>
      </c>
      <c r="D82">
        <v>2.8E-3</v>
      </c>
      <c r="E82">
        <v>2.3699999999999999E-2</v>
      </c>
      <c r="F82">
        <v>2.3699999999999999E-2</v>
      </c>
      <c r="G82">
        <v>8.0000000000000004E-4</v>
      </c>
      <c r="H82">
        <v>0.10340000000000001</v>
      </c>
      <c r="I82">
        <v>0.97989999999999999</v>
      </c>
      <c r="J82">
        <v>3.2000000000000002E-3</v>
      </c>
      <c r="K82">
        <v>1.17E-2</v>
      </c>
      <c r="L82">
        <v>2.58E-2</v>
      </c>
      <c r="M82">
        <v>2.58E-2</v>
      </c>
      <c r="N82">
        <v>1.8E-3</v>
      </c>
      <c r="O82">
        <v>0.42859999999999998</v>
      </c>
      <c r="P82">
        <v>1.2163999999999999</v>
      </c>
      <c r="Q82">
        <v>4.0000000000000001E-3</v>
      </c>
      <c r="R82">
        <v>1.46E-2</v>
      </c>
      <c r="S82">
        <v>4.9500000000000002E-2</v>
      </c>
      <c r="T82">
        <v>4.9500000000000002E-2</v>
      </c>
      <c r="U82">
        <v>2.5000000000000001E-3</v>
      </c>
      <c r="V82">
        <v>0.53210000000000002</v>
      </c>
      <c r="W82" s="4" t="s">
        <v>129</v>
      </c>
      <c r="X82" s="4" t="s">
        <v>116</v>
      </c>
    </row>
    <row r="83" spans="1:24" x14ac:dyDescent="0.25">
      <c r="A83" s="4">
        <v>2104008320</v>
      </c>
      <c r="B83">
        <v>0.91759999999999997</v>
      </c>
      <c r="C83">
        <v>1.9E-3</v>
      </c>
      <c r="D83">
        <v>1.1900000000000001E-2</v>
      </c>
      <c r="E83">
        <v>5.8799999999999998E-2</v>
      </c>
      <c r="F83">
        <v>5.8799999999999998E-2</v>
      </c>
      <c r="G83">
        <v>3.0000000000000001E-3</v>
      </c>
      <c r="H83">
        <v>8.9099999999999999E-2</v>
      </c>
      <c r="I83">
        <v>3.8018999999999998</v>
      </c>
      <c r="J83">
        <v>7.7000000000000002E-3</v>
      </c>
      <c r="K83">
        <v>4.9500000000000002E-2</v>
      </c>
      <c r="L83">
        <v>0.10970000000000001</v>
      </c>
      <c r="M83">
        <v>0.10970000000000001</v>
      </c>
      <c r="N83">
        <v>1.15E-2</v>
      </c>
      <c r="O83">
        <v>0.36899999999999999</v>
      </c>
      <c r="P83">
        <v>4.7194000000000003</v>
      </c>
      <c r="Q83">
        <v>9.4999999999999998E-3</v>
      </c>
      <c r="R83">
        <v>6.1400000000000003E-2</v>
      </c>
      <c r="S83">
        <v>0.16850000000000001</v>
      </c>
      <c r="T83">
        <v>0.16850000000000001</v>
      </c>
      <c r="U83">
        <v>1.44E-2</v>
      </c>
      <c r="V83">
        <v>0.45800000000000002</v>
      </c>
      <c r="W83" s="4" t="s">
        <v>130</v>
      </c>
      <c r="X83" s="4" t="s">
        <v>116</v>
      </c>
    </row>
    <row r="84" spans="1:24" x14ac:dyDescent="0.25">
      <c r="A84" s="4">
        <v>2104008330</v>
      </c>
      <c r="B84">
        <v>1.3338000000000001</v>
      </c>
      <c r="C84">
        <v>2.7000000000000001E-3</v>
      </c>
      <c r="D84">
        <v>1.7399999999999999E-2</v>
      </c>
      <c r="E84">
        <v>9.4899999999999998E-2</v>
      </c>
      <c r="F84">
        <v>9.4899999999999998E-2</v>
      </c>
      <c r="G84">
        <v>4.3E-3</v>
      </c>
      <c r="H84">
        <v>0.1618</v>
      </c>
      <c r="I84">
        <v>5.5262000000000002</v>
      </c>
      <c r="J84">
        <v>1.12E-2</v>
      </c>
      <c r="K84">
        <v>7.1900000000000006E-2</v>
      </c>
      <c r="L84">
        <v>0.1704</v>
      </c>
      <c r="M84">
        <v>0.1704</v>
      </c>
      <c r="N84">
        <v>1.67E-2</v>
      </c>
      <c r="O84">
        <v>0.6704</v>
      </c>
      <c r="P84">
        <v>6.86</v>
      </c>
      <c r="Q84">
        <v>1.3899999999999999E-2</v>
      </c>
      <c r="R84">
        <v>8.9300000000000004E-2</v>
      </c>
      <c r="S84">
        <v>0.26529999999999998</v>
      </c>
      <c r="T84">
        <v>0.26529999999999998</v>
      </c>
      <c r="U84">
        <v>2.1000000000000001E-2</v>
      </c>
      <c r="V84">
        <v>0.83220000000000005</v>
      </c>
      <c r="W84" s="4" t="s">
        <v>131</v>
      </c>
      <c r="X84" s="4" t="s">
        <v>116</v>
      </c>
    </row>
    <row r="85" spans="1:24" x14ac:dyDescent="0.25">
      <c r="A85" s="4">
        <v>2104008410</v>
      </c>
      <c r="B85">
        <v>3.0999999999999999E-3</v>
      </c>
      <c r="C85">
        <v>0</v>
      </c>
      <c r="D85">
        <v>1.2999999999999999E-3</v>
      </c>
      <c r="E85">
        <v>8.9999999999999998E-4</v>
      </c>
      <c r="F85">
        <v>8.9999999999999998E-4</v>
      </c>
      <c r="G85">
        <v>1E-4</v>
      </c>
      <c r="H85">
        <v>6.9999999999999999E-4</v>
      </c>
      <c r="I85">
        <v>1.2999999999999999E-2</v>
      </c>
      <c r="J85">
        <v>1E-4</v>
      </c>
      <c r="K85">
        <v>5.1999999999999998E-3</v>
      </c>
      <c r="L85">
        <v>1.6999999999999999E-3</v>
      </c>
      <c r="M85">
        <v>1.6999999999999999E-3</v>
      </c>
      <c r="N85">
        <v>4.0000000000000002E-4</v>
      </c>
      <c r="O85">
        <v>3.0000000000000001E-3</v>
      </c>
      <c r="P85">
        <v>1.61E-2</v>
      </c>
      <c r="Q85">
        <v>1E-4</v>
      </c>
      <c r="R85">
        <v>6.4999999999999997E-3</v>
      </c>
      <c r="S85">
        <v>2.5999999999999999E-3</v>
      </c>
      <c r="T85">
        <v>2.5999999999999999E-3</v>
      </c>
      <c r="U85">
        <v>5.0000000000000001E-4</v>
      </c>
      <c r="V85">
        <v>3.7000000000000002E-3</v>
      </c>
      <c r="W85" s="4" t="s">
        <v>132</v>
      </c>
      <c r="X85" s="4" t="s">
        <v>116</v>
      </c>
    </row>
    <row r="86" spans="1:24" x14ac:dyDescent="0.25">
      <c r="A86" s="4">
        <v>2104008420</v>
      </c>
      <c r="B86">
        <v>2.93E-2</v>
      </c>
      <c r="C86">
        <v>2.0000000000000001E-4</v>
      </c>
      <c r="D86">
        <v>1.18E-2</v>
      </c>
      <c r="E86">
        <v>8.6999999999999994E-3</v>
      </c>
      <c r="F86">
        <v>8.6999999999999994E-3</v>
      </c>
      <c r="G86">
        <v>8.9999999999999998E-4</v>
      </c>
      <c r="H86">
        <v>6.7999999999999996E-3</v>
      </c>
      <c r="I86">
        <v>0.1212</v>
      </c>
      <c r="J86">
        <v>8.9999999999999998E-4</v>
      </c>
      <c r="K86">
        <v>4.8899999999999999E-2</v>
      </c>
      <c r="L86">
        <v>1.5100000000000001E-2</v>
      </c>
      <c r="M86">
        <v>1.5100000000000001E-2</v>
      </c>
      <c r="N86">
        <v>3.3999999999999998E-3</v>
      </c>
      <c r="O86">
        <v>2.8000000000000001E-2</v>
      </c>
      <c r="P86">
        <v>0.15049999999999999</v>
      </c>
      <c r="Q86">
        <v>1.1000000000000001E-3</v>
      </c>
      <c r="R86">
        <v>6.0699999999999997E-2</v>
      </c>
      <c r="S86">
        <v>2.3800000000000002E-2</v>
      </c>
      <c r="T86">
        <v>2.3800000000000002E-2</v>
      </c>
      <c r="U86">
        <v>4.3E-3</v>
      </c>
      <c r="V86">
        <v>3.4700000000000002E-2</v>
      </c>
      <c r="W86" s="4" t="s">
        <v>133</v>
      </c>
      <c r="X86" s="4" t="s">
        <v>116</v>
      </c>
    </row>
    <row r="87" spans="1:24" x14ac:dyDescent="0.25">
      <c r="A87" s="4">
        <v>2104008610</v>
      </c>
      <c r="B87">
        <v>4.5400000000000003E-2</v>
      </c>
      <c r="C87">
        <v>2.0000000000000001E-4</v>
      </c>
      <c r="D87">
        <v>1.1999999999999999E-3</v>
      </c>
      <c r="E87">
        <v>7.4000000000000003E-3</v>
      </c>
      <c r="F87">
        <v>7.4000000000000003E-3</v>
      </c>
      <c r="G87">
        <v>2.9999999999999997E-4</v>
      </c>
      <c r="H87">
        <v>3.4099999999999998E-2</v>
      </c>
      <c r="I87">
        <v>0.37609999999999999</v>
      </c>
      <c r="J87">
        <v>1.5E-3</v>
      </c>
      <c r="K87">
        <v>0.01</v>
      </c>
      <c r="L87">
        <v>1.61E-2</v>
      </c>
      <c r="M87">
        <v>1.61E-2</v>
      </c>
      <c r="N87">
        <v>1.5E-3</v>
      </c>
      <c r="O87">
        <v>0.28189999999999998</v>
      </c>
      <c r="P87">
        <v>0.42149999999999999</v>
      </c>
      <c r="Q87">
        <v>1.6999999999999999E-3</v>
      </c>
      <c r="R87">
        <v>1.12E-2</v>
      </c>
      <c r="S87">
        <v>2.35E-2</v>
      </c>
      <c r="T87">
        <v>2.35E-2</v>
      </c>
      <c r="U87">
        <v>1.8E-3</v>
      </c>
      <c r="V87">
        <v>0.31590000000000001</v>
      </c>
      <c r="W87" s="4" t="s">
        <v>134</v>
      </c>
      <c r="X87" s="4" t="s">
        <v>116</v>
      </c>
    </row>
    <row r="89" spans="1:24" x14ac:dyDescent="0.25">
      <c r="B89" s="80">
        <f>SUMIFS(B70:B87,$X70:$X87,$X89)/B69</f>
        <v>0.9984358880495191</v>
      </c>
      <c r="C89" s="80">
        <f t="shared" ref="C89:V89" si="8">SUMIFS(C70:C87,$X70:$X87,$X89)/C69</f>
        <v>0.97826086956521752</v>
      </c>
      <c r="D89" s="80">
        <f t="shared" si="8"/>
        <v>0.31124260355029582</v>
      </c>
      <c r="E89" s="80">
        <f t="shared" si="8"/>
        <v>0.98116232464929853</v>
      </c>
      <c r="F89" s="80">
        <f t="shared" si="8"/>
        <v>0.98116232464929853</v>
      </c>
      <c r="G89" s="80">
        <f t="shared" si="8"/>
        <v>3.5654221325260672E-2</v>
      </c>
      <c r="H89" s="80">
        <f t="shared" si="8"/>
        <v>0.98682766190998905</v>
      </c>
      <c r="I89" s="80">
        <f t="shared" si="8"/>
        <v>0.99039420696789471</v>
      </c>
      <c r="J89" s="81">
        <f t="shared" si="8"/>
        <v>0.65887096774193554</v>
      </c>
      <c r="K89" s="81">
        <f t="shared" si="8"/>
        <v>0.12178941996938254</v>
      </c>
      <c r="L89" s="80">
        <f t="shared" si="8"/>
        <v>0.94410764453644835</v>
      </c>
      <c r="M89" s="81">
        <f t="shared" si="8"/>
        <v>0.94410764453644835</v>
      </c>
      <c r="N89" s="81">
        <f t="shared" si="8"/>
        <v>2.2510953316210905E-2</v>
      </c>
      <c r="O89" s="81">
        <f t="shared" si="8"/>
        <v>0.9853694220921726</v>
      </c>
      <c r="P89" s="80">
        <f t="shared" si="8"/>
        <v>0.99149044725261715</v>
      </c>
      <c r="Q89" s="81">
        <f t="shared" si="8"/>
        <v>0.6794294294294293</v>
      </c>
      <c r="R89" s="81">
        <f t="shared" si="8"/>
        <v>0.13452612369579875</v>
      </c>
      <c r="S89" s="80">
        <f t="shared" si="8"/>
        <v>0.95409871476401353</v>
      </c>
      <c r="T89" s="81">
        <f t="shared" si="8"/>
        <v>0.95409871476401353</v>
      </c>
      <c r="U89" s="81">
        <f t="shared" si="8"/>
        <v>2.4134910205869473E-2</v>
      </c>
      <c r="V89" s="81">
        <f t="shared" si="8"/>
        <v>0.98543858426809738</v>
      </c>
      <c r="X89" s="4" t="s">
        <v>116</v>
      </c>
    </row>
    <row r="90" spans="1:24" x14ac:dyDescent="0.25">
      <c r="B90" s="80">
        <f>SUMIFS(B70:B87,$X70:$X87,$X90)/B69</f>
        <v>1.5308329728110752E-3</v>
      </c>
      <c r="C90" s="80">
        <f t="shared" ref="C90:V90" si="9">SUMIFS(C70:C87,$X70:$X87,$X90)/C69</f>
        <v>2.1739130434782612E-2</v>
      </c>
      <c r="D90" s="80">
        <f t="shared" si="9"/>
        <v>0.68875739644970413</v>
      </c>
      <c r="E90" s="80">
        <f t="shared" si="9"/>
        <v>1.8436873747494989E-2</v>
      </c>
      <c r="F90" s="80">
        <f t="shared" si="9"/>
        <v>1.8436873747494989E-2</v>
      </c>
      <c r="G90" s="80">
        <f t="shared" si="9"/>
        <v>0.96434577867473936</v>
      </c>
      <c r="H90" s="80">
        <f t="shared" si="9"/>
        <v>1.3355287230150019E-2</v>
      </c>
      <c r="I90" s="80">
        <f t="shared" si="9"/>
        <v>3.4623078181655049E-3</v>
      </c>
      <c r="J90" s="81">
        <f t="shared" si="9"/>
        <v>2.8225806451612902E-2</v>
      </c>
      <c r="K90" s="81">
        <f t="shared" si="9"/>
        <v>0.78503997278448712</v>
      </c>
      <c r="L90" s="80">
        <f t="shared" si="9"/>
        <v>3.1051308590862046E-2</v>
      </c>
      <c r="M90" s="81">
        <f t="shared" si="9"/>
        <v>3.1051308590862046E-2</v>
      </c>
      <c r="N90" s="81">
        <f t="shared" si="9"/>
        <v>0.96691343103187788</v>
      </c>
      <c r="O90" s="81">
        <f t="shared" si="9"/>
        <v>1.2931943015138928E-2</v>
      </c>
      <c r="P90" s="80">
        <f t="shared" si="9"/>
        <v>3.1933599978133912E-3</v>
      </c>
      <c r="Q90" s="81">
        <f t="shared" si="9"/>
        <v>2.8528528528528527E-2</v>
      </c>
      <c r="R90" s="81">
        <f t="shared" si="9"/>
        <v>0.77855357638751133</v>
      </c>
      <c r="S90" s="80">
        <f t="shared" si="9"/>
        <v>2.7648774165676637E-2</v>
      </c>
      <c r="T90" s="81">
        <f t="shared" si="9"/>
        <v>2.7648774165676637E-2</v>
      </c>
      <c r="U90" s="81">
        <f t="shared" si="9"/>
        <v>0.96657906263688143</v>
      </c>
      <c r="V90" s="81">
        <f t="shared" si="9"/>
        <v>1.2958963282937363E-2</v>
      </c>
      <c r="X90" s="4" t="s">
        <v>115</v>
      </c>
    </row>
    <row r="91" spans="1:24" x14ac:dyDescent="0.25">
      <c r="B91" s="80">
        <f>SUMIFS(B70:B87,$X70:$X87,$X91)/B69</f>
        <v>9.9836933009417959E-5</v>
      </c>
      <c r="C91" s="80">
        <f t="shared" ref="C91:V91" si="10">SUMIFS(C70:C87,$X70:$X87,$X91)/C69</f>
        <v>0</v>
      </c>
      <c r="D91" s="80">
        <f t="shared" si="10"/>
        <v>0</v>
      </c>
      <c r="E91" s="80">
        <f t="shared" si="10"/>
        <v>0</v>
      </c>
      <c r="F91" s="80">
        <f t="shared" si="10"/>
        <v>0</v>
      </c>
      <c r="G91" s="80">
        <f t="shared" si="10"/>
        <v>0</v>
      </c>
      <c r="H91" s="80">
        <f t="shared" si="10"/>
        <v>0</v>
      </c>
      <c r="I91" s="80">
        <f t="shared" si="10"/>
        <v>1.7469876338609481E-3</v>
      </c>
      <c r="J91" s="81">
        <f t="shared" si="10"/>
        <v>2.4193548387096771E-3</v>
      </c>
      <c r="K91" s="81">
        <f t="shared" si="10"/>
        <v>5.1029086579350237E-4</v>
      </c>
      <c r="L91" s="80">
        <f t="shared" si="10"/>
        <v>1.0350436196954014E-3</v>
      </c>
      <c r="M91" s="81">
        <f t="shared" si="10"/>
        <v>1.0350436196954014E-3</v>
      </c>
      <c r="N91" s="81">
        <f t="shared" si="10"/>
        <v>6.5468096892783395E-4</v>
      </c>
      <c r="O91" s="81">
        <f t="shared" si="10"/>
        <v>3.0996987092854575E-4</v>
      </c>
      <c r="P91" s="80">
        <f t="shared" si="10"/>
        <v>1.526070755017812E-3</v>
      </c>
      <c r="Q91" s="81">
        <f t="shared" si="10"/>
        <v>2.2522522522522518E-3</v>
      </c>
      <c r="R91" s="81">
        <f t="shared" si="10"/>
        <v>4.7605823779108979E-4</v>
      </c>
      <c r="S91" s="80">
        <f t="shared" si="10"/>
        <v>7.5602116859272068E-4</v>
      </c>
      <c r="T91" s="81">
        <f t="shared" si="10"/>
        <v>7.5602116859272068E-4</v>
      </c>
      <c r="U91" s="81">
        <f t="shared" si="10"/>
        <v>6.1322820849759089E-4</v>
      </c>
      <c r="V91" s="81">
        <f t="shared" si="10"/>
        <v>2.9029935669662557E-4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4.3912196718196642E-3</v>
      </c>
      <c r="J92" s="81">
        <f t="shared" si="11"/>
        <v>0.31048387096774194</v>
      </c>
      <c r="K92" s="81">
        <f t="shared" si="11"/>
        <v>9.2617792141520675E-2</v>
      </c>
      <c r="L92" s="80">
        <f t="shared" si="11"/>
        <v>2.395386662723643E-2</v>
      </c>
      <c r="M92" s="81">
        <f t="shared" si="11"/>
        <v>2.395386662723643E-2</v>
      </c>
      <c r="N92" s="81">
        <f t="shared" si="11"/>
        <v>9.9209346829833307E-3</v>
      </c>
      <c r="O92" s="81">
        <f t="shared" si="11"/>
        <v>1.3762662269227431E-3</v>
      </c>
      <c r="P92" s="80">
        <f t="shared" si="11"/>
        <v>3.7901219945516997E-3</v>
      </c>
      <c r="Q92" s="81">
        <f t="shared" si="11"/>
        <v>0.28903903903903899</v>
      </c>
      <c r="R92" s="81">
        <f t="shared" si="11"/>
        <v>8.6404570159082802E-2</v>
      </c>
      <c r="S92" s="80">
        <f t="shared" si="11"/>
        <v>1.7496489901717246E-2</v>
      </c>
      <c r="T92" s="81">
        <f t="shared" si="11"/>
        <v>1.7496489901717246E-2</v>
      </c>
      <c r="U92" s="81">
        <f t="shared" si="11"/>
        <v>8.6289969338589571E-3</v>
      </c>
      <c r="V92" s="81">
        <f t="shared" si="11"/>
        <v>1.2889291437330175E-3</v>
      </c>
      <c r="X92" s="4" t="s">
        <v>113</v>
      </c>
    </row>
  </sheetData>
  <sheetProtection algorithmName="SHA-512" hashValue="8wiPRtezmk0A2EN0CndE4YV9sHiwj5DBzdGXlYSUp34bIhiZWkoD7fg8TjokLeahgNU7OPxu4r81+Ranr3fA3w==" saltValue="lVsK36Z709N4viMGZaA0iQ=="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D2760-402C-419C-A847-A3FB92276BFC}">
  <sheetPr codeName="Sheet31"/>
  <dimension ref="A2:X92"/>
  <sheetViews>
    <sheetView workbookViewId="0"/>
  </sheetViews>
  <sheetFormatPr defaultRowHeight="15" x14ac:dyDescent="0.25"/>
  <cols>
    <col min="1" max="1" width="13" customWidth="1"/>
    <col min="23" max="23" width="11.85546875" customWidth="1"/>
  </cols>
  <sheetData>
    <row r="2" spans="1:24" x14ac:dyDescent="0.25">
      <c r="A2" t="s">
        <v>323</v>
      </c>
    </row>
    <row r="3" spans="1:24" x14ac:dyDescent="0.25">
      <c r="A3" s="77" t="s">
        <v>219</v>
      </c>
    </row>
    <row r="5" spans="1:24" x14ac:dyDescent="0.25">
      <c r="A5" t="s">
        <v>104</v>
      </c>
      <c r="B5" s="277" t="s">
        <v>105</v>
      </c>
      <c r="C5" s="277"/>
      <c r="D5" s="277"/>
      <c r="E5" s="277"/>
      <c r="F5" s="277"/>
      <c r="G5" s="277"/>
      <c r="H5" s="277"/>
      <c r="I5" s="277" t="s">
        <v>106</v>
      </c>
      <c r="J5" s="277"/>
      <c r="K5" s="277"/>
      <c r="L5" s="277"/>
      <c r="M5" s="277"/>
      <c r="N5" s="277"/>
      <c r="O5" s="277"/>
      <c r="P5" s="277" t="s">
        <v>107</v>
      </c>
      <c r="Q5" s="277"/>
      <c r="R5" s="277"/>
      <c r="S5" s="277"/>
      <c r="T5" s="277"/>
      <c r="U5" s="277"/>
      <c r="V5" s="277"/>
      <c r="W5" s="4" t="s">
        <v>11</v>
      </c>
      <c r="X5" s="4" t="s">
        <v>108</v>
      </c>
    </row>
    <row r="6" spans="1:24" x14ac:dyDescent="0.25">
      <c r="A6" s="7" t="s">
        <v>109</v>
      </c>
      <c r="B6" s="7" t="s">
        <v>14</v>
      </c>
      <c r="C6" s="7" t="s">
        <v>6</v>
      </c>
      <c r="D6" s="7" t="s">
        <v>110</v>
      </c>
      <c r="E6" s="7" t="s">
        <v>13</v>
      </c>
      <c r="F6" s="7" t="s">
        <v>12</v>
      </c>
      <c r="G6" s="7" t="s">
        <v>4</v>
      </c>
      <c r="H6" s="7" t="s">
        <v>5</v>
      </c>
      <c r="I6" s="7" t="s">
        <v>14</v>
      </c>
      <c r="J6" s="7" t="s">
        <v>6</v>
      </c>
      <c r="K6" s="7" t="s">
        <v>110</v>
      </c>
      <c r="L6" s="7" t="s">
        <v>13</v>
      </c>
      <c r="M6" s="7" t="s">
        <v>12</v>
      </c>
      <c r="N6" s="7" t="s">
        <v>4</v>
      </c>
      <c r="O6" s="7" t="s">
        <v>5</v>
      </c>
      <c r="P6" s="7" t="s">
        <v>14</v>
      </c>
      <c r="Q6" s="7" t="s">
        <v>6</v>
      </c>
      <c r="R6" s="7" t="s">
        <v>110</v>
      </c>
      <c r="S6" s="7" t="s">
        <v>13</v>
      </c>
      <c r="T6" s="7" t="s">
        <v>12</v>
      </c>
      <c r="U6" s="7" t="s">
        <v>4</v>
      </c>
      <c r="V6" s="7" t="s">
        <v>5</v>
      </c>
      <c r="W6" s="7" t="s">
        <v>111</v>
      </c>
      <c r="X6" s="7" t="s">
        <v>68</v>
      </c>
    </row>
    <row r="7" spans="1:24" x14ac:dyDescent="0.25">
      <c r="A7" s="4" t="s">
        <v>112</v>
      </c>
      <c r="B7">
        <v>3.0243000000000002</v>
      </c>
      <c r="C7">
        <v>9.1999999999999998E-3</v>
      </c>
      <c r="D7">
        <v>0.1701</v>
      </c>
      <c r="E7">
        <v>0.25119999999999998</v>
      </c>
      <c r="F7">
        <v>0.25119999999999998</v>
      </c>
      <c r="G7">
        <v>0.29920000000000002</v>
      </c>
      <c r="H7">
        <v>0.55010000000000003</v>
      </c>
      <c r="I7">
        <v>19.0687</v>
      </c>
      <c r="J7">
        <v>0.1246</v>
      </c>
      <c r="K7">
        <v>2.3664000000000001</v>
      </c>
      <c r="L7">
        <v>1.9849000000000001</v>
      </c>
      <c r="M7">
        <v>1.9849000000000001</v>
      </c>
      <c r="N7">
        <v>3.8458000000000001</v>
      </c>
      <c r="O7">
        <v>8.1173000000000002</v>
      </c>
      <c r="P7">
        <v>22.0931</v>
      </c>
      <c r="Q7">
        <v>0.1338</v>
      </c>
      <c r="R7">
        <v>2.5366</v>
      </c>
      <c r="S7">
        <v>2.2361</v>
      </c>
      <c r="T7">
        <v>2.2361</v>
      </c>
      <c r="U7">
        <v>4.1449999999999996</v>
      </c>
      <c r="V7">
        <v>8.6674000000000007</v>
      </c>
    </row>
    <row r="8" spans="1:24" x14ac:dyDescent="0.25">
      <c r="A8" s="4">
        <v>2102012000</v>
      </c>
      <c r="B8">
        <v>0</v>
      </c>
      <c r="C8">
        <v>0</v>
      </c>
      <c r="D8">
        <v>0</v>
      </c>
      <c r="E8">
        <v>0</v>
      </c>
      <c r="F8">
        <v>0</v>
      </c>
      <c r="G8">
        <v>0</v>
      </c>
      <c r="H8">
        <v>0</v>
      </c>
      <c r="I8">
        <v>6.1999999999999998E-3</v>
      </c>
      <c r="J8">
        <v>0</v>
      </c>
      <c r="K8">
        <v>2.6200000000000001E-2</v>
      </c>
      <c r="L8">
        <v>2.5999999999999999E-3</v>
      </c>
      <c r="M8">
        <v>2.5999999999999999E-3</v>
      </c>
      <c r="N8">
        <v>1.8499999999999999E-2</v>
      </c>
      <c r="O8">
        <v>5.0000000000000001E-4</v>
      </c>
      <c r="P8">
        <v>6.1999999999999998E-3</v>
      </c>
      <c r="Q8">
        <v>0</v>
      </c>
      <c r="R8">
        <v>2.6200000000000001E-2</v>
      </c>
      <c r="S8">
        <v>2.5999999999999999E-3</v>
      </c>
      <c r="T8">
        <v>2.5999999999999999E-3</v>
      </c>
      <c r="U8">
        <v>1.8499999999999999E-2</v>
      </c>
      <c r="V8">
        <v>5.0000000000000001E-4</v>
      </c>
      <c r="W8" s="4" t="s">
        <v>117</v>
      </c>
      <c r="X8" s="4" t="s">
        <v>113</v>
      </c>
    </row>
    <row r="9" spans="1:24" x14ac:dyDescent="0.25">
      <c r="A9" s="4">
        <v>2103002000</v>
      </c>
      <c r="B9">
        <v>2.0000000000000001E-4</v>
      </c>
      <c r="C9">
        <v>0</v>
      </c>
      <c r="D9">
        <v>0</v>
      </c>
      <c r="E9">
        <v>0</v>
      </c>
      <c r="F9">
        <v>0</v>
      </c>
      <c r="G9">
        <v>0</v>
      </c>
      <c r="H9">
        <v>0</v>
      </c>
      <c r="I9">
        <v>4.1999999999999997E-3</v>
      </c>
      <c r="J9">
        <v>0</v>
      </c>
      <c r="K9">
        <v>2.0000000000000001E-4</v>
      </c>
      <c r="L9">
        <v>2.9999999999999997E-4</v>
      </c>
      <c r="M9">
        <v>2.9999999999999997E-4</v>
      </c>
      <c r="N9">
        <v>2.9999999999999997E-4</v>
      </c>
      <c r="O9">
        <v>2.9999999999999997E-4</v>
      </c>
      <c r="P9">
        <v>4.4999999999999997E-3</v>
      </c>
      <c r="Q9">
        <v>0</v>
      </c>
      <c r="R9">
        <v>2.0000000000000001E-4</v>
      </c>
      <c r="S9">
        <v>2.9999999999999997E-4</v>
      </c>
      <c r="T9">
        <v>2.9999999999999997E-4</v>
      </c>
      <c r="U9">
        <v>2.9999999999999997E-4</v>
      </c>
      <c r="V9">
        <v>2.9999999999999997E-4</v>
      </c>
      <c r="W9" s="4" t="s">
        <v>118</v>
      </c>
      <c r="X9" s="4" t="s">
        <v>114</v>
      </c>
    </row>
    <row r="10" spans="1:24" x14ac:dyDescent="0.25">
      <c r="A10" s="4">
        <v>2103004001</v>
      </c>
      <c r="B10">
        <v>2.0000000000000001E-4</v>
      </c>
      <c r="C10">
        <v>0</v>
      </c>
      <c r="D10">
        <v>7.0000000000000001E-3</v>
      </c>
      <c r="E10">
        <v>2.0000000000000001E-4</v>
      </c>
      <c r="F10">
        <v>2.0000000000000001E-4</v>
      </c>
      <c r="G10">
        <v>5.0000000000000001E-3</v>
      </c>
      <c r="H10">
        <v>2.9999999999999997E-4</v>
      </c>
      <c r="I10">
        <v>1.3599999999999999E-2</v>
      </c>
      <c r="J10">
        <v>6.9999999999999999E-4</v>
      </c>
      <c r="K10">
        <v>0.54520000000000002</v>
      </c>
      <c r="L10">
        <v>1.38E-2</v>
      </c>
      <c r="M10">
        <v>1.38E-2</v>
      </c>
      <c r="N10">
        <v>0.38540000000000002</v>
      </c>
      <c r="O10">
        <v>2.1600000000000001E-2</v>
      </c>
      <c r="P10">
        <v>1.37E-2</v>
      </c>
      <c r="Q10">
        <v>8.0000000000000004E-4</v>
      </c>
      <c r="R10">
        <v>0.55230000000000001</v>
      </c>
      <c r="S10">
        <v>1.4E-2</v>
      </c>
      <c r="T10">
        <v>1.4E-2</v>
      </c>
      <c r="U10">
        <v>0.39040000000000002</v>
      </c>
      <c r="V10">
        <v>2.1899999999999999E-2</v>
      </c>
      <c r="W10" s="4" t="s">
        <v>119</v>
      </c>
      <c r="X10" s="4" t="s">
        <v>115</v>
      </c>
    </row>
    <row r="11" spans="1:24" x14ac:dyDescent="0.25">
      <c r="A11" s="4">
        <v>2103006000</v>
      </c>
      <c r="B11">
        <v>0</v>
      </c>
      <c r="C11">
        <v>0</v>
      </c>
      <c r="D11">
        <v>0</v>
      </c>
      <c r="E11">
        <v>0</v>
      </c>
      <c r="F11">
        <v>0</v>
      </c>
      <c r="G11">
        <v>0</v>
      </c>
      <c r="H11">
        <v>0</v>
      </c>
      <c r="I11">
        <v>7.1499999999999994E-2</v>
      </c>
      <c r="J11">
        <v>3.5700000000000003E-2</v>
      </c>
      <c r="K11">
        <v>0.17860000000000001</v>
      </c>
      <c r="L11">
        <v>1.3599999999999999E-2</v>
      </c>
      <c r="M11">
        <v>1.3599999999999999E-2</v>
      </c>
      <c r="N11">
        <v>1.1000000000000001E-3</v>
      </c>
      <c r="O11">
        <v>9.7999999999999997E-3</v>
      </c>
      <c r="P11">
        <v>7.1499999999999994E-2</v>
      </c>
      <c r="Q11">
        <v>3.5700000000000003E-2</v>
      </c>
      <c r="R11">
        <v>0.17860000000000001</v>
      </c>
      <c r="S11">
        <v>1.3599999999999999E-2</v>
      </c>
      <c r="T11">
        <v>1.3599999999999999E-2</v>
      </c>
      <c r="U11">
        <v>1.1000000000000001E-3</v>
      </c>
      <c r="V11">
        <v>9.7999999999999997E-3</v>
      </c>
      <c r="W11" s="4" t="s">
        <v>120</v>
      </c>
      <c r="X11" s="4" t="s">
        <v>113</v>
      </c>
    </row>
    <row r="12" spans="1:24" x14ac:dyDescent="0.25">
      <c r="A12" s="4">
        <v>2103008000</v>
      </c>
      <c r="B12">
        <v>2.9999999999999997E-4</v>
      </c>
      <c r="C12">
        <v>0</v>
      </c>
      <c r="D12">
        <v>0</v>
      </c>
      <c r="E12">
        <v>0</v>
      </c>
      <c r="F12">
        <v>0</v>
      </c>
      <c r="G12">
        <v>0</v>
      </c>
      <c r="H12">
        <v>2.0000000000000001E-4</v>
      </c>
      <c r="I12">
        <v>1.8E-3</v>
      </c>
      <c r="J12">
        <v>0</v>
      </c>
      <c r="K12">
        <v>0</v>
      </c>
      <c r="L12">
        <v>2.9999999999999997E-4</v>
      </c>
      <c r="M12">
        <v>2.9999999999999997E-4</v>
      </c>
      <c r="N12">
        <v>0</v>
      </c>
      <c r="O12">
        <v>8.9999999999999998E-4</v>
      </c>
      <c r="P12">
        <v>2.0999999999999999E-3</v>
      </c>
      <c r="Q12">
        <v>0</v>
      </c>
      <c r="R12">
        <v>0</v>
      </c>
      <c r="S12">
        <v>2.9999999999999997E-4</v>
      </c>
      <c r="T12">
        <v>2.9999999999999997E-4</v>
      </c>
      <c r="U12">
        <v>0</v>
      </c>
      <c r="V12">
        <v>1E-3</v>
      </c>
      <c r="W12" s="4" t="s">
        <v>121</v>
      </c>
      <c r="X12" s="4" t="s">
        <v>116</v>
      </c>
    </row>
    <row r="13" spans="1:24" x14ac:dyDescent="0.25">
      <c r="A13" s="4">
        <v>2104002000</v>
      </c>
      <c r="B13">
        <v>1E-4</v>
      </c>
      <c r="C13">
        <v>0</v>
      </c>
      <c r="D13">
        <v>0</v>
      </c>
      <c r="E13">
        <v>0</v>
      </c>
      <c r="F13">
        <v>0</v>
      </c>
      <c r="G13">
        <v>0</v>
      </c>
      <c r="H13">
        <v>0</v>
      </c>
      <c r="I13">
        <v>2.9100000000000001E-2</v>
      </c>
      <c r="J13">
        <v>2.9999999999999997E-4</v>
      </c>
      <c r="K13">
        <v>1.1000000000000001E-3</v>
      </c>
      <c r="L13">
        <v>1.8E-3</v>
      </c>
      <c r="M13">
        <v>1.8E-3</v>
      </c>
      <c r="N13">
        <v>2.0999999999999999E-3</v>
      </c>
      <c r="O13">
        <v>2.2000000000000001E-3</v>
      </c>
      <c r="P13">
        <v>2.9100000000000001E-2</v>
      </c>
      <c r="Q13">
        <v>2.9999999999999997E-4</v>
      </c>
      <c r="R13">
        <v>1.1000000000000001E-3</v>
      </c>
      <c r="S13">
        <v>1.8E-3</v>
      </c>
      <c r="T13">
        <v>1.8E-3</v>
      </c>
      <c r="U13">
        <v>2.0999999999999999E-3</v>
      </c>
      <c r="V13">
        <v>2.2000000000000001E-3</v>
      </c>
      <c r="W13" s="4" t="s">
        <v>122</v>
      </c>
      <c r="X13" s="4" t="s">
        <v>114</v>
      </c>
    </row>
    <row r="14" spans="1:24" x14ac:dyDescent="0.25">
      <c r="A14" s="4">
        <v>2104004000</v>
      </c>
      <c r="B14">
        <v>4.4000000000000003E-3</v>
      </c>
      <c r="C14">
        <v>2.0000000000000001E-4</v>
      </c>
      <c r="D14">
        <v>0.1101</v>
      </c>
      <c r="E14">
        <v>4.4999999999999997E-3</v>
      </c>
      <c r="F14">
        <v>4.4999999999999997E-3</v>
      </c>
      <c r="G14">
        <v>0.28360000000000002</v>
      </c>
      <c r="H14">
        <v>7.0000000000000001E-3</v>
      </c>
      <c r="I14">
        <v>5.2400000000000002E-2</v>
      </c>
      <c r="J14">
        <v>2.8999999999999998E-3</v>
      </c>
      <c r="K14">
        <v>1.3138000000000001</v>
      </c>
      <c r="L14">
        <v>5.3400000000000003E-2</v>
      </c>
      <c r="M14">
        <v>5.3400000000000003E-2</v>
      </c>
      <c r="N14">
        <v>3.3832</v>
      </c>
      <c r="O14">
        <v>8.3500000000000005E-2</v>
      </c>
      <c r="P14">
        <v>5.6800000000000003E-2</v>
      </c>
      <c r="Q14">
        <v>3.0999999999999999E-3</v>
      </c>
      <c r="R14">
        <v>1.4238999999999999</v>
      </c>
      <c r="S14">
        <v>5.79E-2</v>
      </c>
      <c r="T14">
        <v>5.79E-2</v>
      </c>
      <c r="U14">
        <v>3.6667999999999998</v>
      </c>
      <c r="V14">
        <v>9.0499999999999997E-2</v>
      </c>
      <c r="W14" s="4" t="s">
        <v>123</v>
      </c>
      <c r="X14" s="4" t="s">
        <v>115</v>
      </c>
    </row>
    <row r="15" spans="1:24" x14ac:dyDescent="0.25">
      <c r="A15" s="4">
        <v>2104006010</v>
      </c>
      <c r="B15">
        <v>0</v>
      </c>
      <c r="C15">
        <v>0</v>
      </c>
      <c r="D15">
        <v>0</v>
      </c>
      <c r="E15">
        <v>0</v>
      </c>
      <c r="F15">
        <v>0</v>
      </c>
      <c r="G15">
        <v>0</v>
      </c>
      <c r="H15">
        <v>0</v>
      </c>
      <c r="I15">
        <v>5.4999999999999997E-3</v>
      </c>
      <c r="J15">
        <v>2.8E-3</v>
      </c>
      <c r="K15">
        <v>1.2999999999999999E-2</v>
      </c>
      <c r="L15">
        <v>0</v>
      </c>
      <c r="M15">
        <v>0</v>
      </c>
      <c r="N15">
        <v>1E-4</v>
      </c>
      <c r="O15">
        <v>8.0000000000000004E-4</v>
      </c>
      <c r="P15">
        <v>5.4999999999999997E-3</v>
      </c>
      <c r="Q15">
        <v>2.8E-3</v>
      </c>
      <c r="R15">
        <v>1.2999999999999999E-2</v>
      </c>
      <c r="S15">
        <v>0</v>
      </c>
      <c r="T15">
        <v>0</v>
      </c>
      <c r="U15">
        <v>1E-4</v>
      </c>
      <c r="V15">
        <v>8.0000000000000004E-4</v>
      </c>
      <c r="W15" s="4" t="s">
        <v>124</v>
      </c>
      <c r="X15" s="4" t="s">
        <v>113</v>
      </c>
    </row>
    <row r="16" spans="1:24" x14ac:dyDescent="0.25">
      <c r="A16" s="4">
        <v>2104008100</v>
      </c>
      <c r="B16">
        <v>0.111</v>
      </c>
      <c r="C16">
        <v>8.0000000000000004E-4</v>
      </c>
      <c r="D16">
        <v>1.1000000000000001E-3</v>
      </c>
      <c r="E16">
        <v>1.52E-2</v>
      </c>
      <c r="F16">
        <v>1.52E-2</v>
      </c>
      <c r="G16">
        <v>2.0000000000000001E-4</v>
      </c>
      <c r="H16">
        <v>0.10059999999999999</v>
      </c>
      <c r="I16">
        <v>6.6456999999999997</v>
      </c>
      <c r="J16">
        <v>4.7399999999999998E-2</v>
      </c>
      <c r="K16">
        <v>6.8400000000000002E-2</v>
      </c>
      <c r="L16">
        <v>0.9103</v>
      </c>
      <c r="M16">
        <v>0.9103</v>
      </c>
      <c r="N16">
        <v>1.0500000000000001E-2</v>
      </c>
      <c r="O16">
        <v>6.0247999999999999</v>
      </c>
      <c r="P16">
        <v>6.7567000000000004</v>
      </c>
      <c r="Q16">
        <v>4.8099999999999997E-2</v>
      </c>
      <c r="R16">
        <v>6.9500000000000006E-2</v>
      </c>
      <c r="S16">
        <v>0.92549999999999999</v>
      </c>
      <c r="T16">
        <v>0.92549999999999999</v>
      </c>
      <c r="U16">
        <v>1.0699999999999999E-2</v>
      </c>
      <c r="V16">
        <v>6.1254</v>
      </c>
      <c r="W16" s="4" t="s">
        <v>125</v>
      </c>
      <c r="X16" s="4" t="s">
        <v>116</v>
      </c>
    </row>
    <row r="17" spans="1:24" x14ac:dyDescent="0.25">
      <c r="A17" s="4">
        <v>2104008210</v>
      </c>
      <c r="B17">
        <v>5.5399999999999998E-2</v>
      </c>
      <c r="C17">
        <v>4.0000000000000002E-4</v>
      </c>
      <c r="D17">
        <v>6.9999999999999999E-4</v>
      </c>
      <c r="E17">
        <v>7.3000000000000001E-3</v>
      </c>
      <c r="F17">
        <v>7.3000000000000001E-3</v>
      </c>
      <c r="G17">
        <v>1E-4</v>
      </c>
      <c r="H17">
        <v>1.2699999999999999E-2</v>
      </c>
      <c r="I17">
        <v>0.2296</v>
      </c>
      <c r="J17">
        <v>1.6999999999999999E-3</v>
      </c>
      <c r="K17">
        <v>2.8E-3</v>
      </c>
      <c r="L17">
        <v>3.04E-2</v>
      </c>
      <c r="M17">
        <v>3.04E-2</v>
      </c>
      <c r="N17">
        <v>4.0000000000000002E-4</v>
      </c>
      <c r="O17">
        <v>5.2699999999999997E-2</v>
      </c>
      <c r="P17">
        <v>0.28499999999999998</v>
      </c>
      <c r="Q17">
        <v>2.0999999999999999E-3</v>
      </c>
      <c r="R17">
        <v>3.5000000000000001E-3</v>
      </c>
      <c r="S17">
        <v>3.78E-2</v>
      </c>
      <c r="T17">
        <v>3.78E-2</v>
      </c>
      <c r="U17">
        <v>5.0000000000000001E-4</v>
      </c>
      <c r="V17">
        <v>6.5500000000000003E-2</v>
      </c>
      <c r="W17" s="4" t="s">
        <v>126</v>
      </c>
      <c r="X17" s="4" t="s">
        <v>116</v>
      </c>
    </row>
    <row r="18" spans="1:24" x14ac:dyDescent="0.25">
      <c r="A18" s="4">
        <v>2104008220</v>
      </c>
      <c r="B18">
        <v>0.1285</v>
      </c>
      <c r="C18">
        <v>8.0000000000000004E-4</v>
      </c>
      <c r="D18">
        <v>1.8E-3</v>
      </c>
      <c r="E18">
        <v>1.0999999999999999E-2</v>
      </c>
      <c r="F18">
        <v>1.0999999999999999E-2</v>
      </c>
      <c r="G18">
        <v>4.0000000000000002E-4</v>
      </c>
      <c r="H18">
        <v>1.0999999999999999E-2</v>
      </c>
      <c r="I18">
        <v>0.53259999999999996</v>
      </c>
      <c r="J18">
        <v>3.3999999999999998E-3</v>
      </c>
      <c r="K18">
        <v>7.6E-3</v>
      </c>
      <c r="L18">
        <v>4.5400000000000003E-2</v>
      </c>
      <c r="M18">
        <v>4.5400000000000003E-2</v>
      </c>
      <c r="N18">
        <v>1.5E-3</v>
      </c>
      <c r="O18">
        <v>4.5400000000000003E-2</v>
      </c>
      <c r="P18">
        <v>0.66110000000000002</v>
      </c>
      <c r="Q18">
        <v>4.1999999999999997E-3</v>
      </c>
      <c r="R18">
        <v>9.4000000000000004E-3</v>
      </c>
      <c r="S18">
        <v>5.6300000000000003E-2</v>
      </c>
      <c r="T18">
        <v>5.6300000000000003E-2</v>
      </c>
      <c r="U18">
        <v>1.9E-3</v>
      </c>
      <c r="V18">
        <v>5.6300000000000003E-2</v>
      </c>
      <c r="W18" s="4" t="s">
        <v>127</v>
      </c>
      <c r="X18" s="4" t="s">
        <v>116</v>
      </c>
    </row>
    <row r="19" spans="1:24" x14ac:dyDescent="0.25">
      <c r="A19" s="4">
        <v>2104008230</v>
      </c>
      <c r="B19">
        <v>0.14199999999999999</v>
      </c>
      <c r="C19">
        <v>1.1999999999999999E-3</v>
      </c>
      <c r="D19">
        <v>2.7000000000000001E-3</v>
      </c>
      <c r="E19">
        <v>1.7299999999999999E-2</v>
      </c>
      <c r="F19">
        <v>1.7299999999999999E-2</v>
      </c>
      <c r="G19">
        <v>5.0000000000000001E-4</v>
      </c>
      <c r="H19">
        <v>1.9900000000000001E-2</v>
      </c>
      <c r="I19">
        <v>0.58830000000000005</v>
      </c>
      <c r="J19">
        <v>4.8999999999999998E-3</v>
      </c>
      <c r="K19">
        <v>1.0999999999999999E-2</v>
      </c>
      <c r="L19">
        <v>7.1499999999999994E-2</v>
      </c>
      <c r="M19">
        <v>7.1499999999999994E-2</v>
      </c>
      <c r="N19">
        <v>2.2000000000000001E-3</v>
      </c>
      <c r="O19">
        <v>8.2500000000000004E-2</v>
      </c>
      <c r="P19">
        <v>0.73029999999999995</v>
      </c>
      <c r="Q19">
        <v>6.1000000000000004E-3</v>
      </c>
      <c r="R19">
        <v>1.37E-2</v>
      </c>
      <c r="S19">
        <v>8.8700000000000001E-2</v>
      </c>
      <c r="T19">
        <v>8.8700000000000001E-2</v>
      </c>
      <c r="U19">
        <v>2.7000000000000001E-3</v>
      </c>
      <c r="V19">
        <v>0.1024</v>
      </c>
      <c r="W19" s="4" t="s">
        <v>128</v>
      </c>
      <c r="X19" s="4" t="s">
        <v>116</v>
      </c>
    </row>
    <row r="20" spans="1:24" x14ac:dyDescent="0.25">
      <c r="A20" s="4">
        <v>2104008310</v>
      </c>
      <c r="B20">
        <v>0.23799999999999999</v>
      </c>
      <c r="C20">
        <v>8.0000000000000004E-4</v>
      </c>
      <c r="D20">
        <v>2.8999999999999998E-3</v>
      </c>
      <c r="E20">
        <v>2.3900000000000001E-2</v>
      </c>
      <c r="F20">
        <v>2.3900000000000001E-2</v>
      </c>
      <c r="G20">
        <v>8.0000000000000004E-4</v>
      </c>
      <c r="H20">
        <v>0.1041</v>
      </c>
      <c r="I20">
        <v>0.98619999999999997</v>
      </c>
      <c r="J20">
        <v>3.2000000000000002E-3</v>
      </c>
      <c r="K20">
        <v>1.18E-2</v>
      </c>
      <c r="L20">
        <v>9.8799999999999999E-2</v>
      </c>
      <c r="M20">
        <v>9.8799999999999999E-2</v>
      </c>
      <c r="N20">
        <v>3.3E-3</v>
      </c>
      <c r="O20">
        <v>0.43140000000000001</v>
      </c>
      <c r="P20">
        <v>1.2242999999999999</v>
      </c>
      <c r="Q20">
        <v>4.0000000000000001E-3</v>
      </c>
      <c r="R20">
        <v>1.47E-2</v>
      </c>
      <c r="S20">
        <v>0.1227</v>
      </c>
      <c r="T20">
        <v>0.1227</v>
      </c>
      <c r="U20">
        <v>4.0000000000000001E-3</v>
      </c>
      <c r="V20">
        <v>0.53549999999999998</v>
      </c>
      <c r="W20" s="4" t="s">
        <v>129</v>
      </c>
      <c r="X20" s="4" t="s">
        <v>116</v>
      </c>
    </row>
    <row r="21" spans="1:24" x14ac:dyDescent="0.25">
      <c r="A21" s="4">
        <v>2104008320</v>
      </c>
      <c r="B21">
        <v>0.92349999999999999</v>
      </c>
      <c r="C21">
        <v>1.9E-3</v>
      </c>
      <c r="D21">
        <v>1.2E-2</v>
      </c>
      <c r="E21">
        <v>5.9200000000000003E-2</v>
      </c>
      <c r="F21">
        <v>5.9200000000000003E-2</v>
      </c>
      <c r="G21">
        <v>3.0000000000000001E-3</v>
      </c>
      <c r="H21">
        <v>8.9599999999999999E-2</v>
      </c>
      <c r="I21">
        <v>3.8264</v>
      </c>
      <c r="J21">
        <v>7.7000000000000002E-3</v>
      </c>
      <c r="K21">
        <v>4.9799999999999997E-2</v>
      </c>
      <c r="L21">
        <v>0.24529999999999999</v>
      </c>
      <c r="M21">
        <v>0.24529999999999999</v>
      </c>
      <c r="N21">
        <v>1.24E-2</v>
      </c>
      <c r="O21">
        <v>0.37140000000000001</v>
      </c>
      <c r="P21">
        <v>4.75</v>
      </c>
      <c r="Q21">
        <v>9.5999999999999992E-3</v>
      </c>
      <c r="R21">
        <v>6.1800000000000001E-2</v>
      </c>
      <c r="S21">
        <v>0.30449999999999999</v>
      </c>
      <c r="T21">
        <v>0.30449999999999999</v>
      </c>
      <c r="U21">
        <v>1.54E-2</v>
      </c>
      <c r="V21">
        <v>0.46100000000000002</v>
      </c>
      <c r="W21" s="4" t="s">
        <v>130</v>
      </c>
      <c r="X21" s="4" t="s">
        <v>116</v>
      </c>
    </row>
    <row r="22" spans="1:24" x14ac:dyDescent="0.25">
      <c r="A22" s="4">
        <v>2104008330</v>
      </c>
      <c r="B22">
        <v>1.3424</v>
      </c>
      <c r="C22">
        <v>2.7000000000000001E-3</v>
      </c>
      <c r="D22">
        <v>1.7500000000000002E-2</v>
      </c>
      <c r="E22">
        <v>9.5500000000000002E-2</v>
      </c>
      <c r="F22">
        <v>9.5500000000000002E-2</v>
      </c>
      <c r="G22">
        <v>4.3E-3</v>
      </c>
      <c r="H22">
        <v>0.16289999999999999</v>
      </c>
      <c r="I22">
        <v>5.5618999999999996</v>
      </c>
      <c r="J22">
        <v>1.12E-2</v>
      </c>
      <c r="K22">
        <v>7.2400000000000006E-2</v>
      </c>
      <c r="L22">
        <v>0.39560000000000001</v>
      </c>
      <c r="M22">
        <v>0.39560000000000001</v>
      </c>
      <c r="N22">
        <v>1.7999999999999999E-2</v>
      </c>
      <c r="O22">
        <v>0.67479999999999996</v>
      </c>
      <c r="P22">
        <v>6.9043000000000001</v>
      </c>
      <c r="Q22">
        <v>1.3899999999999999E-2</v>
      </c>
      <c r="R22">
        <v>8.9800000000000005E-2</v>
      </c>
      <c r="S22">
        <v>0.49099999999999999</v>
      </c>
      <c r="T22">
        <v>0.49099999999999999</v>
      </c>
      <c r="U22">
        <v>2.23E-2</v>
      </c>
      <c r="V22">
        <v>0.83760000000000001</v>
      </c>
      <c r="W22" s="4" t="s">
        <v>131</v>
      </c>
      <c r="X22" s="4" t="s">
        <v>116</v>
      </c>
    </row>
    <row r="23" spans="1:24" x14ac:dyDescent="0.25">
      <c r="A23" s="4">
        <v>2104008410</v>
      </c>
      <c r="B23">
        <v>3.2000000000000002E-3</v>
      </c>
      <c r="C23">
        <v>0</v>
      </c>
      <c r="D23">
        <v>1.2999999999999999E-3</v>
      </c>
      <c r="E23">
        <v>8.9999999999999998E-4</v>
      </c>
      <c r="F23">
        <v>8.9999999999999998E-4</v>
      </c>
      <c r="G23">
        <v>1E-4</v>
      </c>
      <c r="H23">
        <v>6.9999999999999999E-4</v>
      </c>
      <c r="I23">
        <v>1.3100000000000001E-2</v>
      </c>
      <c r="J23">
        <v>1E-4</v>
      </c>
      <c r="K23">
        <v>5.3E-3</v>
      </c>
      <c r="L23">
        <v>3.8999999999999998E-3</v>
      </c>
      <c r="M23">
        <v>3.8999999999999998E-3</v>
      </c>
      <c r="N23">
        <v>4.0000000000000002E-4</v>
      </c>
      <c r="O23">
        <v>3.0000000000000001E-3</v>
      </c>
      <c r="P23">
        <v>1.6199999999999999E-2</v>
      </c>
      <c r="Q23">
        <v>1E-4</v>
      </c>
      <c r="R23">
        <v>6.4999999999999997E-3</v>
      </c>
      <c r="S23">
        <v>4.7999999999999996E-3</v>
      </c>
      <c r="T23">
        <v>4.7999999999999996E-3</v>
      </c>
      <c r="U23">
        <v>5.0000000000000001E-4</v>
      </c>
      <c r="V23">
        <v>3.7000000000000002E-3</v>
      </c>
      <c r="W23" s="4" t="s">
        <v>132</v>
      </c>
      <c r="X23" s="4" t="s">
        <v>116</v>
      </c>
    </row>
    <row r="24" spans="1:24" x14ac:dyDescent="0.25">
      <c r="A24" s="4">
        <v>2104008420</v>
      </c>
      <c r="B24">
        <v>2.9399999999999999E-2</v>
      </c>
      <c r="C24">
        <v>2.0000000000000001E-4</v>
      </c>
      <c r="D24">
        <v>1.1900000000000001E-2</v>
      </c>
      <c r="E24">
        <v>8.8000000000000005E-3</v>
      </c>
      <c r="F24">
        <v>8.8000000000000005E-3</v>
      </c>
      <c r="G24">
        <v>8.9999999999999998E-4</v>
      </c>
      <c r="H24">
        <v>6.7999999999999996E-3</v>
      </c>
      <c r="I24">
        <v>0.122</v>
      </c>
      <c r="J24">
        <v>8.9999999999999998E-4</v>
      </c>
      <c r="K24">
        <v>4.9200000000000001E-2</v>
      </c>
      <c r="L24">
        <v>3.6400000000000002E-2</v>
      </c>
      <c r="M24">
        <v>3.6400000000000002E-2</v>
      </c>
      <c r="N24">
        <v>3.8999999999999998E-3</v>
      </c>
      <c r="O24">
        <v>2.8199999999999999E-2</v>
      </c>
      <c r="P24">
        <v>0.1515</v>
      </c>
      <c r="Q24">
        <v>1.1000000000000001E-3</v>
      </c>
      <c r="R24">
        <v>6.1100000000000002E-2</v>
      </c>
      <c r="S24">
        <v>4.5100000000000001E-2</v>
      </c>
      <c r="T24">
        <v>4.5100000000000001E-2</v>
      </c>
      <c r="U24">
        <v>4.8999999999999998E-3</v>
      </c>
      <c r="V24">
        <v>3.5000000000000003E-2</v>
      </c>
      <c r="W24" s="4" t="s">
        <v>133</v>
      </c>
      <c r="X24" s="4" t="s">
        <v>116</v>
      </c>
    </row>
    <row r="25" spans="1:24" x14ac:dyDescent="0.25">
      <c r="A25" s="4">
        <v>2104008610</v>
      </c>
      <c r="B25">
        <v>4.5699999999999998E-2</v>
      </c>
      <c r="C25">
        <v>2.0000000000000001E-4</v>
      </c>
      <c r="D25">
        <v>1.1999999999999999E-3</v>
      </c>
      <c r="E25">
        <v>7.4999999999999997E-3</v>
      </c>
      <c r="F25">
        <v>7.4999999999999997E-3</v>
      </c>
      <c r="G25">
        <v>2.9999999999999997E-4</v>
      </c>
      <c r="H25">
        <v>3.4299999999999997E-2</v>
      </c>
      <c r="I25">
        <v>0.3785</v>
      </c>
      <c r="J25">
        <v>1.5E-3</v>
      </c>
      <c r="K25">
        <v>1.01E-2</v>
      </c>
      <c r="L25">
        <v>6.1699999999999998E-2</v>
      </c>
      <c r="M25">
        <v>6.1699999999999998E-2</v>
      </c>
      <c r="N25">
        <v>2.5000000000000001E-3</v>
      </c>
      <c r="O25">
        <v>0.28370000000000001</v>
      </c>
      <c r="P25">
        <v>0.42420000000000002</v>
      </c>
      <c r="Q25">
        <v>1.6999999999999999E-3</v>
      </c>
      <c r="R25">
        <v>1.1299999999999999E-2</v>
      </c>
      <c r="S25">
        <v>6.9099999999999995E-2</v>
      </c>
      <c r="T25">
        <v>6.9099999999999995E-2</v>
      </c>
      <c r="U25">
        <v>2.8E-3</v>
      </c>
      <c r="V25">
        <v>0.318</v>
      </c>
      <c r="W25" s="4" t="s">
        <v>134</v>
      </c>
      <c r="X25" s="4" t="s">
        <v>116</v>
      </c>
    </row>
    <row r="26" spans="1:24" x14ac:dyDescent="0.25">
      <c r="X26" s="4"/>
    </row>
    <row r="27" spans="1:24" x14ac:dyDescent="0.25">
      <c r="B27" s="79">
        <f>SUMIFS(B8:B25,$X8:$X25,$X27)/B7</f>
        <v>0.99837979036471247</v>
      </c>
      <c r="C27" s="79">
        <f t="shared" ref="C27:V27" si="0">SUMIFS(C8:C25,$X8:$X25,$X27)/C7</f>
        <v>0.97826086956521752</v>
      </c>
      <c r="D27" s="79">
        <f t="shared" si="0"/>
        <v>0.31216931216931215</v>
      </c>
      <c r="E27" s="79">
        <f t="shared" si="0"/>
        <v>0.98168789808917223</v>
      </c>
      <c r="F27" s="79">
        <f t="shared" si="0"/>
        <v>0.98168789808917223</v>
      </c>
      <c r="G27" s="79">
        <f t="shared" si="0"/>
        <v>3.5427807486631005E-2</v>
      </c>
      <c r="H27" s="79">
        <f t="shared" si="0"/>
        <v>0.98672968551172524</v>
      </c>
      <c r="I27" s="79">
        <f t="shared" si="0"/>
        <v>0.99042409812939525</v>
      </c>
      <c r="J27" s="79">
        <f t="shared" si="0"/>
        <v>0.6581059390048154</v>
      </c>
      <c r="K27" s="79">
        <f t="shared" si="0"/>
        <v>0.12187288708586883</v>
      </c>
      <c r="L27" s="79">
        <f t="shared" si="0"/>
        <v>0.95702554284850616</v>
      </c>
      <c r="M27" s="79">
        <f t="shared" si="0"/>
        <v>0.95702554284850616</v>
      </c>
      <c r="N27" s="79">
        <f t="shared" si="0"/>
        <v>1.4327318113266419E-2</v>
      </c>
      <c r="O27" s="79">
        <f t="shared" si="0"/>
        <v>0.98540154977640337</v>
      </c>
      <c r="P27" s="79">
        <f t="shared" si="0"/>
        <v>0.99151771367531039</v>
      </c>
      <c r="Q27" s="79">
        <f t="shared" si="0"/>
        <v>0.679372197309417</v>
      </c>
      <c r="R27" s="79">
        <f t="shared" si="0"/>
        <v>0.13455018528739257</v>
      </c>
      <c r="S27" s="79">
        <f t="shared" si="0"/>
        <v>0.95961719064442574</v>
      </c>
      <c r="T27" s="79">
        <f t="shared" si="0"/>
        <v>0.95961719064442574</v>
      </c>
      <c r="U27" s="79">
        <f t="shared" si="0"/>
        <v>1.5850422195416165E-2</v>
      </c>
      <c r="V27" s="79">
        <f t="shared" si="0"/>
        <v>0.98546276853497017</v>
      </c>
      <c r="X27" s="4" t="s">
        <v>116</v>
      </c>
    </row>
    <row r="28" spans="1:24" x14ac:dyDescent="0.25">
      <c r="B28" s="79">
        <f>SUMIFS(B8:B25,$X8:$X25,$X28)/B7</f>
        <v>1.521013127004596E-3</v>
      </c>
      <c r="C28" s="79">
        <f t="shared" ref="C28:V28" si="1">SUMIFS(C8:C25,$X8:$X25,$X28)/C7</f>
        <v>2.1739130434782612E-2</v>
      </c>
      <c r="D28" s="79">
        <f t="shared" si="1"/>
        <v>0.68841857730746625</v>
      </c>
      <c r="E28" s="79">
        <f t="shared" si="1"/>
        <v>1.8710191082802547E-2</v>
      </c>
      <c r="F28" s="79">
        <f t="shared" si="1"/>
        <v>1.8710191082802547E-2</v>
      </c>
      <c r="G28" s="79">
        <f t="shared" si="1"/>
        <v>0.96457219251336901</v>
      </c>
      <c r="H28" s="79">
        <f t="shared" si="1"/>
        <v>1.3270314488274858E-2</v>
      </c>
      <c r="I28" s="79">
        <f t="shared" si="1"/>
        <v>3.4611693508209791E-3</v>
      </c>
      <c r="J28" s="79">
        <f t="shared" si="1"/>
        <v>2.8892455858747994E-2</v>
      </c>
      <c r="K28" s="79">
        <f t="shared" si="1"/>
        <v>0.78558147396889788</v>
      </c>
      <c r="L28" s="79">
        <f t="shared" si="1"/>
        <v>3.3855609854400726E-2</v>
      </c>
      <c r="M28" s="79">
        <f t="shared" si="1"/>
        <v>3.3855609854400726E-2</v>
      </c>
      <c r="N28" s="79">
        <f t="shared" si="1"/>
        <v>0.979926153206095</v>
      </c>
      <c r="O28" s="79">
        <f t="shared" si="1"/>
        <v>1.2947655008438766E-2</v>
      </c>
      <c r="P28" s="79">
        <f t="shared" si="1"/>
        <v>3.1910415469083111E-3</v>
      </c>
      <c r="Q28" s="79">
        <f t="shared" si="1"/>
        <v>2.9147982062780266E-2</v>
      </c>
      <c r="R28" s="79">
        <f t="shared" si="1"/>
        <v>0.77907435149412596</v>
      </c>
      <c r="S28" s="79">
        <f t="shared" si="1"/>
        <v>3.2154197039488401E-2</v>
      </c>
      <c r="T28" s="79">
        <f t="shared" si="1"/>
        <v>3.2154197039488401E-2</v>
      </c>
      <c r="U28" s="79">
        <f t="shared" si="1"/>
        <v>0.97881785283474076</v>
      </c>
      <c r="V28" s="79">
        <f t="shared" si="1"/>
        <v>1.296813346562983E-2</v>
      </c>
      <c r="X28" s="4" t="s">
        <v>115</v>
      </c>
    </row>
    <row r="29" spans="1:24" x14ac:dyDescent="0.25">
      <c r="B29" s="79">
        <f>SUMIFS(B8:B25,$X8:$X25,$X29)/B7</f>
        <v>9.9196508282908442E-5</v>
      </c>
      <c r="C29" s="79">
        <f t="shared" ref="C29:V29" si="2">SUMIFS(C8:C25,$X8:$X25,$X29)/C7</f>
        <v>0</v>
      </c>
      <c r="D29" s="79">
        <f t="shared" si="2"/>
        <v>0</v>
      </c>
      <c r="E29" s="79">
        <f t="shared" si="2"/>
        <v>0</v>
      </c>
      <c r="F29" s="79">
        <f t="shared" si="2"/>
        <v>0</v>
      </c>
      <c r="G29" s="79">
        <f t="shared" si="2"/>
        <v>0</v>
      </c>
      <c r="H29" s="79">
        <f t="shared" si="2"/>
        <v>0</v>
      </c>
      <c r="I29" s="79">
        <f t="shared" si="2"/>
        <v>1.7463172633687667E-3</v>
      </c>
      <c r="J29" s="79">
        <f t="shared" si="2"/>
        <v>2.407704654895666E-3</v>
      </c>
      <c r="K29" s="79">
        <f t="shared" si="2"/>
        <v>5.4935767410412451E-4</v>
      </c>
      <c r="L29" s="79">
        <f t="shared" si="2"/>
        <v>1.0579878079500225E-3</v>
      </c>
      <c r="M29" s="79">
        <f t="shared" si="2"/>
        <v>1.0579878079500225E-3</v>
      </c>
      <c r="N29" s="79">
        <f t="shared" si="2"/>
        <v>6.2405741328202191E-4</v>
      </c>
      <c r="O29" s="79">
        <f t="shared" si="2"/>
        <v>3.0798418193241593E-4</v>
      </c>
      <c r="P29" s="79">
        <f t="shared" si="2"/>
        <v>1.5208368223563011E-3</v>
      </c>
      <c r="Q29" s="79">
        <f t="shared" si="2"/>
        <v>2.242152466367713E-3</v>
      </c>
      <c r="R29" s="79">
        <f t="shared" si="2"/>
        <v>5.1249704328628883E-4</v>
      </c>
      <c r="S29" s="79">
        <f t="shared" si="2"/>
        <v>9.3913510129242878E-4</v>
      </c>
      <c r="T29" s="79">
        <f t="shared" si="2"/>
        <v>9.3913510129242878E-4</v>
      </c>
      <c r="U29" s="79">
        <f t="shared" si="2"/>
        <v>5.7901085645355849E-4</v>
      </c>
      <c r="V29" s="79">
        <f t="shared" si="2"/>
        <v>2.8843713224265639E-4</v>
      </c>
      <c r="X29" s="4" t="s">
        <v>114</v>
      </c>
    </row>
    <row r="30" spans="1:24" x14ac:dyDescent="0.25">
      <c r="B30" s="79">
        <f>SUMIFS(B8:B25,$X8:$X25,$X30)/B7</f>
        <v>0</v>
      </c>
      <c r="C30" s="79">
        <f t="shared" ref="C30:V30" si="3">SUMIFS(C8:C25,$X8:$X25,$X30)/C7</f>
        <v>0</v>
      </c>
      <c r="D30" s="79">
        <f t="shared" si="3"/>
        <v>0</v>
      </c>
      <c r="E30" s="79">
        <f t="shared" si="3"/>
        <v>0</v>
      </c>
      <c r="F30" s="79">
        <f t="shared" si="3"/>
        <v>0</v>
      </c>
      <c r="G30" s="79">
        <f t="shared" si="3"/>
        <v>0</v>
      </c>
      <c r="H30" s="79">
        <f t="shared" si="3"/>
        <v>0</v>
      </c>
      <c r="I30" s="79">
        <f t="shared" si="3"/>
        <v>4.3631710604288701E-3</v>
      </c>
      <c r="J30" s="79">
        <f t="shared" si="3"/>
        <v>0.3089887640449438</v>
      </c>
      <c r="K30" s="79">
        <f t="shared" si="3"/>
        <v>9.2038539553752546E-2</v>
      </c>
      <c r="L30" s="79">
        <f t="shared" si="3"/>
        <v>8.1616202327573165E-3</v>
      </c>
      <c r="M30" s="79">
        <f t="shared" si="3"/>
        <v>8.1616202327573165E-3</v>
      </c>
      <c r="N30" s="79">
        <f t="shared" si="3"/>
        <v>5.122471267356596E-3</v>
      </c>
      <c r="O30" s="79">
        <f t="shared" si="3"/>
        <v>1.3674497677799268E-3</v>
      </c>
      <c r="P30" s="79">
        <f t="shared" si="3"/>
        <v>3.7658816553584602E-3</v>
      </c>
      <c r="Q30" s="79">
        <f t="shared" si="3"/>
        <v>0.28774289985052315</v>
      </c>
      <c r="R30" s="79">
        <f t="shared" si="3"/>
        <v>8.5862966175195149E-2</v>
      </c>
      <c r="S30" s="79">
        <f t="shared" si="3"/>
        <v>7.2447564956844507E-3</v>
      </c>
      <c r="T30" s="79">
        <f t="shared" si="3"/>
        <v>7.2447564956844507E-3</v>
      </c>
      <c r="U30" s="79">
        <f t="shared" si="3"/>
        <v>4.7527141133896266E-3</v>
      </c>
      <c r="V30" s="79">
        <f t="shared" si="3"/>
        <v>1.2806608671573944E-3</v>
      </c>
      <c r="X30" s="4" t="s">
        <v>113</v>
      </c>
    </row>
    <row r="33" spans="1:24" x14ac:dyDescent="0.25">
      <c r="A33" t="s">
        <v>324</v>
      </c>
    </row>
    <row r="34" spans="1:24" x14ac:dyDescent="0.25">
      <c r="A34" s="77" t="s">
        <v>220</v>
      </c>
    </row>
    <row r="36" spans="1:24" x14ac:dyDescent="0.25">
      <c r="A36" t="s">
        <v>104</v>
      </c>
      <c r="B36" s="277" t="s">
        <v>105</v>
      </c>
      <c r="C36" s="277"/>
      <c r="D36" s="277"/>
      <c r="E36" s="277"/>
      <c r="F36" s="277"/>
      <c r="G36" s="277"/>
      <c r="H36" s="277"/>
      <c r="I36" s="277" t="s">
        <v>106</v>
      </c>
      <c r="J36" s="277"/>
      <c r="K36" s="277"/>
      <c r="L36" s="277"/>
      <c r="M36" s="277"/>
      <c r="N36" s="277"/>
      <c r="O36" s="277"/>
      <c r="P36" s="277" t="s">
        <v>107</v>
      </c>
      <c r="Q36" s="277"/>
      <c r="R36" s="277"/>
      <c r="S36" s="277"/>
      <c r="T36" s="277"/>
      <c r="U36" s="277"/>
      <c r="V36" s="277"/>
      <c r="W36" s="4" t="s">
        <v>11</v>
      </c>
      <c r="X36" s="4" t="s">
        <v>108</v>
      </c>
    </row>
    <row r="37" spans="1:24" x14ac:dyDescent="0.25">
      <c r="A37" s="7" t="s">
        <v>109</v>
      </c>
      <c r="B37" s="7" t="s">
        <v>14</v>
      </c>
      <c r="C37" s="7" t="s">
        <v>6</v>
      </c>
      <c r="D37" s="7" t="s">
        <v>110</v>
      </c>
      <c r="E37" s="7" t="s">
        <v>13</v>
      </c>
      <c r="F37" s="7" t="s">
        <v>12</v>
      </c>
      <c r="G37" s="7" t="s">
        <v>4</v>
      </c>
      <c r="H37" s="7" t="s">
        <v>5</v>
      </c>
      <c r="I37" s="7" t="s">
        <v>14</v>
      </c>
      <c r="J37" s="7" t="s">
        <v>6</v>
      </c>
      <c r="K37" s="7" t="s">
        <v>110</v>
      </c>
      <c r="L37" s="7" t="s">
        <v>13</v>
      </c>
      <c r="M37" s="7" t="s">
        <v>12</v>
      </c>
      <c r="N37" s="7" t="s">
        <v>4</v>
      </c>
      <c r="O37" s="7" t="s">
        <v>5</v>
      </c>
      <c r="P37" s="7" t="s">
        <v>14</v>
      </c>
      <c r="Q37" s="7" t="s">
        <v>6</v>
      </c>
      <c r="R37" s="7" t="s">
        <v>110</v>
      </c>
      <c r="S37" s="7" t="s">
        <v>13</v>
      </c>
      <c r="T37" s="7" t="s">
        <v>12</v>
      </c>
      <c r="U37" s="7" t="s">
        <v>4</v>
      </c>
      <c r="V37" s="7" t="s">
        <v>5</v>
      </c>
      <c r="W37" s="7" t="s">
        <v>111</v>
      </c>
      <c r="X37" s="7" t="s">
        <v>68</v>
      </c>
    </row>
    <row r="38" spans="1:24" x14ac:dyDescent="0.25">
      <c r="A38" s="4" t="s">
        <v>112</v>
      </c>
      <c r="B38">
        <v>3.0243000000000002</v>
      </c>
      <c r="C38">
        <v>9.1999999999999998E-3</v>
      </c>
      <c r="D38">
        <v>0.1701</v>
      </c>
      <c r="E38">
        <v>0.25119999999999998</v>
      </c>
      <c r="F38">
        <v>0.25119999999999998</v>
      </c>
      <c r="G38">
        <v>0.29920000000000002</v>
      </c>
      <c r="H38">
        <v>0.55010000000000003</v>
      </c>
      <c r="I38">
        <v>19.0687</v>
      </c>
      <c r="J38">
        <v>0.1246</v>
      </c>
      <c r="K38">
        <v>2.3664000000000001</v>
      </c>
      <c r="L38">
        <v>0.61040000000000005</v>
      </c>
      <c r="M38">
        <v>0.61040000000000005</v>
      </c>
      <c r="N38">
        <v>1.9902</v>
      </c>
      <c r="O38">
        <v>8.1173000000000002</v>
      </c>
      <c r="P38">
        <v>22.0931</v>
      </c>
      <c r="Q38">
        <v>0.1338</v>
      </c>
      <c r="R38">
        <v>2.5366</v>
      </c>
      <c r="S38">
        <v>0.86160000000000003</v>
      </c>
      <c r="T38">
        <v>0.86160000000000003</v>
      </c>
      <c r="U38">
        <v>2.2894000000000001</v>
      </c>
      <c r="V38">
        <v>8.6674000000000007</v>
      </c>
    </row>
    <row r="39" spans="1:24" x14ac:dyDescent="0.25">
      <c r="A39" s="4">
        <v>2102012000</v>
      </c>
      <c r="B39">
        <v>0</v>
      </c>
      <c r="C39">
        <v>0</v>
      </c>
      <c r="D39">
        <v>0</v>
      </c>
      <c r="E39">
        <v>0</v>
      </c>
      <c r="F39">
        <v>0</v>
      </c>
      <c r="G39">
        <v>0</v>
      </c>
      <c r="H39">
        <v>0</v>
      </c>
      <c r="I39">
        <v>6.1999999999999998E-3</v>
      </c>
      <c r="J39">
        <v>0</v>
      </c>
      <c r="K39">
        <v>2.6200000000000001E-2</v>
      </c>
      <c r="L39">
        <v>2.5999999999999999E-3</v>
      </c>
      <c r="M39">
        <v>2.5999999999999999E-3</v>
      </c>
      <c r="N39">
        <v>1.8499999999999999E-2</v>
      </c>
      <c r="O39">
        <v>5.0000000000000001E-4</v>
      </c>
      <c r="P39">
        <v>6.1999999999999998E-3</v>
      </c>
      <c r="Q39">
        <v>0</v>
      </c>
      <c r="R39">
        <v>2.6200000000000001E-2</v>
      </c>
      <c r="S39">
        <v>2.5999999999999999E-3</v>
      </c>
      <c r="T39">
        <v>2.5999999999999999E-3</v>
      </c>
      <c r="U39">
        <v>1.8499999999999999E-2</v>
      </c>
      <c r="V39">
        <v>5.0000000000000001E-4</v>
      </c>
      <c r="W39" s="4" t="s">
        <v>117</v>
      </c>
      <c r="X39" s="4" t="s">
        <v>113</v>
      </c>
    </row>
    <row r="40" spans="1:24" x14ac:dyDescent="0.25">
      <c r="A40" s="4">
        <v>2103002000</v>
      </c>
      <c r="B40">
        <v>2.0000000000000001E-4</v>
      </c>
      <c r="C40">
        <v>0</v>
      </c>
      <c r="D40">
        <v>0</v>
      </c>
      <c r="E40">
        <v>0</v>
      </c>
      <c r="F40">
        <v>0</v>
      </c>
      <c r="G40">
        <v>0</v>
      </c>
      <c r="H40">
        <v>0</v>
      </c>
      <c r="I40">
        <v>4.1999999999999997E-3</v>
      </c>
      <c r="J40">
        <v>0</v>
      </c>
      <c r="K40">
        <v>2.0000000000000001E-4</v>
      </c>
      <c r="L40">
        <v>2.9999999999999997E-4</v>
      </c>
      <c r="M40">
        <v>2.9999999999999997E-4</v>
      </c>
      <c r="N40">
        <v>2.9999999999999997E-4</v>
      </c>
      <c r="O40">
        <v>2.9999999999999997E-4</v>
      </c>
      <c r="P40">
        <v>4.4999999999999997E-3</v>
      </c>
      <c r="Q40">
        <v>0</v>
      </c>
      <c r="R40">
        <v>2.0000000000000001E-4</v>
      </c>
      <c r="S40">
        <v>2.9999999999999997E-4</v>
      </c>
      <c r="T40">
        <v>2.9999999999999997E-4</v>
      </c>
      <c r="U40">
        <v>2.9999999999999997E-4</v>
      </c>
      <c r="V40">
        <v>2.9999999999999997E-4</v>
      </c>
      <c r="W40" s="4" t="s">
        <v>118</v>
      </c>
      <c r="X40" s="4" t="s">
        <v>114</v>
      </c>
    </row>
    <row r="41" spans="1:24" x14ac:dyDescent="0.25">
      <c r="A41" s="4">
        <v>2103004001</v>
      </c>
      <c r="B41">
        <v>2.0000000000000001E-4</v>
      </c>
      <c r="C41">
        <v>0</v>
      </c>
      <c r="D41">
        <v>7.0000000000000001E-3</v>
      </c>
      <c r="E41">
        <v>2.0000000000000001E-4</v>
      </c>
      <c r="F41">
        <v>2.0000000000000001E-4</v>
      </c>
      <c r="G41">
        <v>5.0000000000000001E-3</v>
      </c>
      <c r="H41">
        <v>2.9999999999999997E-4</v>
      </c>
      <c r="I41">
        <v>1.3599999999999999E-2</v>
      </c>
      <c r="J41">
        <v>6.9999999999999999E-4</v>
      </c>
      <c r="K41">
        <v>0.54520000000000002</v>
      </c>
      <c r="L41">
        <v>7.6E-3</v>
      </c>
      <c r="M41">
        <v>7.6E-3</v>
      </c>
      <c r="N41">
        <v>0.39650000000000002</v>
      </c>
      <c r="O41">
        <v>2.1600000000000001E-2</v>
      </c>
      <c r="P41">
        <v>1.37E-2</v>
      </c>
      <c r="Q41">
        <v>8.0000000000000004E-4</v>
      </c>
      <c r="R41">
        <v>0.55230000000000001</v>
      </c>
      <c r="S41">
        <v>7.7999999999999996E-3</v>
      </c>
      <c r="T41">
        <v>7.7999999999999996E-3</v>
      </c>
      <c r="U41">
        <v>0.40150000000000002</v>
      </c>
      <c r="V41">
        <v>2.1899999999999999E-2</v>
      </c>
      <c r="W41" s="4" t="s">
        <v>119</v>
      </c>
      <c r="X41" s="4" t="s">
        <v>115</v>
      </c>
    </row>
    <row r="42" spans="1:24" x14ac:dyDescent="0.25">
      <c r="A42" s="4">
        <v>2103006000</v>
      </c>
      <c r="B42">
        <v>0</v>
      </c>
      <c r="C42">
        <v>0</v>
      </c>
      <c r="D42">
        <v>0</v>
      </c>
      <c r="E42">
        <v>0</v>
      </c>
      <c r="F42">
        <v>0</v>
      </c>
      <c r="G42">
        <v>0</v>
      </c>
      <c r="H42">
        <v>0</v>
      </c>
      <c r="I42">
        <v>7.1499999999999994E-2</v>
      </c>
      <c r="J42">
        <v>3.5700000000000003E-2</v>
      </c>
      <c r="K42">
        <v>0.17860000000000001</v>
      </c>
      <c r="L42">
        <v>1.3599999999999999E-2</v>
      </c>
      <c r="M42">
        <v>1.3599999999999999E-2</v>
      </c>
      <c r="N42">
        <v>1.1000000000000001E-3</v>
      </c>
      <c r="O42">
        <v>9.7999999999999997E-3</v>
      </c>
      <c r="P42">
        <v>7.1499999999999994E-2</v>
      </c>
      <c r="Q42">
        <v>3.5700000000000003E-2</v>
      </c>
      <c r="R42">
        <v>0.17860000000000001</v>
      </c>
      <c r="S42">
        <v>1.3599999999999999E-2</v>
      </c>
      <c r="T42">
        <v>1.3599999999999999E-2</v>
      </c>
      <c r="U42">
        <v>1.1000000000000001E-3</v>
      </c>
      <c r="V42">
        <v>9.7999999999999997E-3</v>
      </c>
      <c r="W42" s="4" t="s">
        <v>120</v>
      </c>
      <c r="X42" s="4" t="s">
        <v>113</v>
      </c>
    </row>
    <row r="43" spans="1:24" x14ac:dyDescent="0.25">
      <c r="A43" s="4">
        <v>2103008000</v>
      </c>
      <c r="B43">
        <v>2.9999999999999997E-4</v>
      </c>
      <c r="C43">
        <v>0</v>
      </c>
      <c r="D43">
        <v>0</v>
      </c>
      <c r="E43">
        <v>0</v>
      </c>
      <c r="F43">
        <v>0</v>
      </c>
      <c r="G43">
        <v>0</v>
      </c>
      <c r="H43">
        <v>2.0000000000000001E-4</v>
      </c>
      <c r="I43">
        <v>1.8E-3</v>
      </c>
      <c r="J43">
        <v>0</v>
      </c>
      <c r="K43">
        <v>0</v>
      </c>
      <c r="L43">
        <v>2.9999999999999997E-4</v>
      </c>
      <c r="M43">
        <v>2.9999999999999997E-4</v>
      </c>
      <c r="N43">
        <v>0</v>
      </c>
      <c r="O43">
        <v>8.9999999999999998E-4</v>
      </c>
      <c r="P43">
        <v>2.0999999999999999E-3</v>
      </c>
      <c r="Q43">
        <v>0</v>
      </c>
      <c r="R43">
        <v>0</v>
      </c>
      <c r="S43">
        <v>2.9999999999999997E-4</v>
      </c>
      <c r="T43">
        <v>2.9999999999999997E-4</v>
      </c>
      <c r="U43">
        <v>0</v>
      </c>
      <c r="V43">
        <v>1E-3</v>
      </c>
      <c r="W43" s="4" t="s">
        <v>121</v>
      </c>
      <c r="X43" s="4" t="s">
        <v>116</v>
      </c>
    </row>
    <row r="44" spans="1:24" x14ac:dyDescent="0.25">
      <c r="A44" s="4">
        <v>2104002000</v>
      </c>
      <c r="B44">
        <v>1E-4</v>
      </c>
      <c r="C44">
        <v>0</v>
      </c>
      <c r="D44">
        <v>0</v>
      </c>
      <c r="E44">
        <v>0</v>
      </c>
      <c r="F44">
        <v>0</v>
      </c>
      <c r="G44">
        <v>0</v>
      </c>
      <c r="H44">
        <v>0</v>
      </c>
      <c r="I44">
        <v>2.9100000000000001E-2</v>
      </c>
      <c r="J44">
        <v>2.9999999999999997E-4</v>
      </c>
      <c r="K44">
        <v>1.1000000000000001E-3</v>
      </c>
      <c r="L44">
        <v>4.0000000000000002E-4</v>
      </c>
      <c r="M44">
        <v>4.0000000000000002E-4</v>
      </c>
      <c r="N44">
        <v>1E-3</v>
      </c>
      <c r="O44">
        <v>2.2000000000000001E-3</v>
      </c>
      <c r="P44">
        <v>2.9100000000000001E-2</v>
      </c>
      <c r="Q44">
        <v>2.9999999999999997E-4</v>
      </c>
      <c r="R44">
        <v>1.1000000000000001E-3</v>
      </c>
      <c r="S44">
        <v>4.0000000000000002E-4</v>
      </c>
      <c r="T44">
        <v>4.0000000000000002E-4</v>
      </c>
      <c r="U44">
        <v>1.1000000000000001E-3</v>
      </c>
      <c r="V44">
        <v>2.2000000000000001E-3</v>
      </c>
      <c r="W44" s="4" t="s">
        <v>122</v>
      </c>
      <c r="X44" s="4" t="s">
        <v>114</v>
      </c>
    </row>
    <row r="45" spans="1:24" x14ac:dyDescent="0.25">
      <c r="A45" s="4">
        <v>2104004000</v>
      </c>
      <c r="B45">
        <v>4.4000000000000003E-3</v>
      </c>
      <c r="C45">
        <v>2.0000000000000001E-4</v>
      </c>
      <c r="D45">
        <v>0.1101</v>
      </c>
      <c r="E45">
        <v>4.4999999999999997E-3</v>
      </c>
      <c r="F45">
        <v>4.4999999999999997E-3</v>
      </c>
      <c r="G45">
        <v>0.28360000000000002</v>
      </c>
      <c r="H45">
        <v>7.0000000000000001E-3</v>
      </c>
      <c r="I45">
        <v>5.2400000000000002E-2</v>
      </c>
      <c r="J45">
        <v>2.8999999999999998E-3</v>
      </c>
      <c r="K45">
        <v>1.3138000000000001</v>
      </c>
      <c r="L45">
        <v>1.21E-2</v>
      </c>
      <c r="M45">
        <v>1.21E-2</v>
      </c>
      <c r="N45">
        <v>1.5282</v>
      </c>
      <c r="O45">
        <v>8.3500000000000005E-2</v>
      </c>
      <c r="P45">
        <v>5.6800000000000003E-2</v>
      </c>
      <c r="Q45">
        <v>3.0999999999999999E-3</v>
      </c>
      <c r="R45">
        <v>1.4238999999999999</v>
      </c>
      <c r="S45">
        <v>1.66E-2</v>
      </c>
      <c r="T45">
        <v>1.66E-2</v>
      </c>
      <c r="U45">
        <v>1.8118000000000001</v>
      </c>
      <c r="V45">
        <v>9.0499999999999997E-2</v>
      </c>
      <c r="W45" s="4" t="s">
        <v>123</v>
      </c>
      <c r="X45" s="4" t="s">
        <v>115</v>
      </c>
    </row>
    <row r="46" spans="1:24" x14ac:dyDescent="0.25">
      <c r="A46" s="4">
        <v>2104006010</v>
      </c>
      <c r="B46">
        <v>0</v>
      </c>
      <c r="C46">
        <v>0</v>
      </c>
      <c r="D46">
        <v>0</v>
      </c>
      <c r="E46">
        <v>0</v>
      </c>
      <c r="F46">
        <v>0</v>
      </c>
      <c r="G46">
        <v>0</v>
      </c>
      <c r="H46">
        <v>0</v>
      </c>
      <c r="I46">
        <v>5.4999999999999997E-3</v>
      </c>
      <c r="J46">
        <v>2.8E-3</v>
      </c>
      <c r="K46">
        <v>1.2999999999999999E-2</v>
      </c>
      <c r="L46">
        <v>0</v>
      </c>
      <c r="M46">
        <v>0</v>
      </c>
      <c r="N46">
        <v>1E-4</v>
      </c>
      <c r="O46">
        <v>8.0000000000000004E-4</v>
      </c>
      <c r="P46">
        <v>5.4999999999999997E-3</v>
      </c>
      <c r="Q46">
        <v>2.8E-3</v>
      </c>
      <c r="R46">
        <v>1.2999999999999999E-2</v>
      </c>
      <c r="S46">
        <v>0</v>
      </c>
      <c r="T46">
        <v>0</v>
      </c>
      <c r="U46">
        <v>1E-4</v>
      </c>
      <c r="V46">
        <v>8.0000000000000004E-4</v>
      </c>
      <c r="W46" s="4" t="s">
        <v>124</v>
      </c>
      <c r="X46" s="4" t="s">
        <v>113</v>
      </c>
    </row>
    <row r="47" spans="1:24" x14ac:dyDescent="0.25">
      <c r="A47" s="4">
        <v>2104008100</v>
      </c>
      <c r="B47">
        <v>0.111</v>
      </c>
      <c r="C47">
        <v>8.0000000000000004E-4</v>
      </c>
      <c r="D47">
        <v>1.1000000000000001E-3</v>
      </c>
      <c r="E47">
        <v>1.52E-2</v>
      </c>
      <c r="F47">
        <v>1.52E-2</v>
      </c>
      <c r="G47">
        <v>2.0000000000000001E-4</v>
      </c>
      <c r="H47">
        <v>0.10059999999999999</v>
      </c>
      <c r="I47">
        <v>6.6456999999999997</v>
      </c>
      <c r="J47">
        <v>4.7399999999999998E-2</v>
      </c>
      <c r="K47">
        <v>6.8400000000000002E-2</v>
      </c>
      <c r="L47">
        <v>0.21579999999999999</v>
      </c>
      <c r="M47">
        <v>0.21579999999999999</v>
      </c>
      <c r="N47">
        <v>5.7000000000000002E-3</v>
      </c>
      <c r="O47">
        <v>6.0247999999999999</v>
      </c>
      <c r="P47">
        <v>6.7567000000000004</v>
      </c>
      <c r="Q47">
        <v>4.8099999999999997E-2</v>
      </c>
      <c r="R47">
        <v>6.9500000000000006E-2</v>
      </c>
      <c r="S47">
        <v>0.23100000000000001</v>
      </c>
      <c r="T47">
        <v>0.23100000000000001</v>
      </c>
      <c r="U47">
        <v>5.8999999999999999E-3</v>
      </c>
      <c r="V47">
        <v>6.1254</v>
      </c>
      <c r="W47" s="4" t="s">
        <v>125</v>
      </c>
      <c r="X47" s="4" t="s">
        <v>116</v>
      </c>
    </row>
    <row r="48" spans="1:24" x14ac:dyDescent="0.25">
      <c r="A48" s="4">
        <v>2104008210</v>
      </c>
      <c r="B48">
        <v>5.5399999999999998E-2</v>
      </c>
      <c r="C48">
        <v>4.0000000000000002E-4</v>
      </c>
      <c r="D48">
        <v>6.9999999999999999E-4</v>
      </c>
      <c r="E48">
        <v>7.3000000000000001E-3</v>
      </c>
      <c r="F48">
        <v>7.3000000000000001E-3</v>
      </c>
      <c r="G48">
        <v>1E-4</v>
      </c>
      <c r="H48">
        <v>1.2699999999999999E-2</v>
      </c>
      <c r="I48">
        <v>0.2296</v>
      </c>
      <c r="J48">
        <v>1.6999999999999999E-3</v>
      </c>
      <c r="K48">
        <v>2.8E-3</v>
      </c>
      <c r="L48">
        <v>7.0000000000000001E-3</v>
      </c>
      <c r="M48">
        <v>7.0000000000000001E-3</v>
      </c>
      <c r="N48">
        <v>2.0000000000000001E-4</v>
      </c>
      <c r="O48">
        <v>5.2699999999999997E-2</v>
      </c>
      <c r="P48">
        <v>0.28499999999999998</v>
      </c>
      <c r="Q48">
        <v>2.0999999999999999E-3</v>
      </c>
      <c r="R48">
        <v>3.5000000000000001E-3</v>
      </c>
      <c r="S48">
        <v>1.43E-2</v>
      </c>
      <c r="T48">
        <v>1.43E-2</v>
      </c>
      <c r="U48">
        <v>2.9999999999999997E-4</v>
      </c>
      <c r="V48">
        <v>6.5500000000000003E-2</v>
      </c>
      <c r="W48" s="4" t="s">
        <v>126</v>
      </c>
      <c r="X48" s="4" t="s">
        <v>116</v>
      </c>
    </row>
    <row r="49" spans="1:24" x14ac:dyDescent="0.25">
      <c r="A49" s="4">
        <v>2104008220</v>
      </c>
      <c r="B49">
        <v>0.1285</v>
      </c>
      <c r="C49">
        <v>8.0000000000000004E-4</v>
      </c>
      <c r="D49">
        <v>1.8E-3</v>
      </c>
      <c r="E49">
        <v>1.0999999999999999E-2</v>
      </c>
      <c r="F49">
        <v>1.0999999999999999E-2</v>
      </c>
      <c r="G49">
        <v>4.0000000000000002E-4</v>
      </c>
      <c r="H49">
        <v>1.0999999999999999E-2</v>
      </c>
      <c r="I49">
        <v>0.53259999999999996</v>
      </c>
      <c r="J49">
        <v>3.3999999999999998E-3</v>
      </c>
      <c r="K49">
        <v>7.6E-3</v>
      </c>
      <c r="L49">
        <v>1.8599999999999998E-2</v>
      </c>
      <c r="M49">
        <v>1.8599999999999998E-2</v>
      </c>
      <c r="N49">
        <v>1.4E-3</v>
      </c>
      <c r="O49">
        <v>4.5400000000000003E-2</v>
      </c>
      <c r="P49">
        <v>0.66110000000000002</v>
      </c>
      <c r="Q49">
        <v>4.1999999999999997E-3</v>
      </c>
      <c r="R49">
        <v>9.4000000000000004E-3</v>
      </c>
      <c r="S49">
        <v>2.9499999999999998E-2</v>
      </c>
      <c r="T49">
        <v>2.9499999999999998E-2</v>
      </c>
      <c r="U49">
        <v>1.8E-3</v>
      </c>
      <c r="V49">
        <v>5.6300000000000003E-2</v>
      </c>
      <c r="W49" s="4" t="s">
        <v>127</v>
      </c>
      <c r="X49" s="4" t="s">
        <v>116</v>
      </c>
    </row>
    <row r="50" spans="1:24" x14ac:dyDescent="0.25">
      <c r="A50" s="4">
        <v>2104008230</v>
      </c>
      <c r="B50">
        <v>0.14199999999999999</v>
      </c>
      <c r="C50">
        <v>1.1999999999999999E-3</v>
      </c>
      <c r="D50">
        <v>2.7000000000000001E-3</v>
      </c>
      <c r="E50">
        <v>1.7299999999999999E-2</v>
      </c>
      <c r="F50">
        <v>1.7299999999999999E-2</v>
      </c>
      <c r="G50">
        <v>5.0000000000000001E-4</v>
      </c>
      <c r="H50">
        <v>1.9900000000000001E-2</v>
      </c>
      <c r="I50">
        <v>0.58830000000000005</v>
      </c>
      <c r="J50">
        <v>4.8999999999999998E-3</v>
      </c>
      <c r="K50">
        <v>1.0999999999999999E-2</v>
      </c>
      <c r="L50">
        <v>2.6200000000000001E-2</v>
      </c>
      <c r="M50">
        <v>2.6200000000000001E-2</v>
      </c>
      <c r="N50">
        <v>2E-3</v>
      </c>
      <c r="O50">
        <v>8.2500000000000004E-2</v>
      </c>
      <c r="P50">
        <v>0.73029999999999995</v>
      </c>
      <c r="Q50">
        <v>6.1000000000000004E-3</v>
      </c>
      <c r="R50">
        <v>1.37E-2</v>
      </c>
      <c r="S50">
        <v>4.3499999999999997E-2</v>
      </c>
      <c r="T50">
        <v>4.3499999999999997E-2</v>
      </c>
      <c r="U50">
        <v>2.5000000000000001E-3</v>
      </c>
      <c r="V50">
        <v>0.1024</v>
      </c>
      <c r="W50" s="4" t="s">
        <v>128</v>
      </c>
      <c r="X50" s="4" t="s">
        <v>116</v>
      </c>
    </row>
    <row r="51" spans="1:24" x14ac:dyDescent="0.25">
      <c r="A51" s="4">
        <v>2104008310</v>
      </c>
      <c r="B51">
        <v>0.23799999999999999</v>
      </c>
      <c r="C51">
        <v>8.0000000000000004E-4</v>
      </c>
      <c r="D51">
        <v>2.8999999999999998E-3</v>
      </c>
      <c r="E51">
        <v>2.3900000000000001E-2</v>
      </c>
      <c r="F51">
        <v>2.3900000000000001E-2</v>
      </c>
      <c r="G51">
        <v>8.0000000000000004E-4</v>
      </c>
      <c r="H51">
        <v>0.1041</v>
      </c>
      <c r="I51">
        <v>0.98619999999999997</v>
      </c>
      <c r="J51">
        <v>3.2000000000000002E-3</v>
      </c>
      <c r="K51">
        <v>1.18E-2</v>
      </c>
      <c r="L51">
        <v>2.29E-2</v>
      </c>
      <c r="M51">
        <v>2.29E-2</v>
      </c>
      <c r="N51">
        <v>1.6999999999999999E-3</v>
      </c>
      <c r="O51">
        <v>0.43140000000000001</v>
      </c>
      <c r="P51">
        <v>1.2242999999999999</v>
      </c>
      <c r="Q51">
        <v>4.0000000000000001E-3</v>
      </c>
      <c r="R51">
        <v>1.47E-2</v>
      </c>
      <c r="S51">
        <v>4.6800000000000001E-2</v>
      </c>
      <c r="T51">
        <v>4.6800000000000001E-2</v>
      </c>
      <c r="U51">
        <v>2.5000000000000001E-3</v>
      </c>
      <c r="V51">
        <v>0.53549999999999998</v>
      </c>
      <c r="W51" s="4" t="s">
        <v>129</v>
      </c>
      <c r="X51" s="4" t="s">
        <v>116</v>
      </c>
    </row>
    <row r="52" spans="1:24" x14ac:dyDescent="0.25">
      <c r="A52" s="4">
        <v>2104008320</v>
      </c>
      <c r="B52">
        <v>0.92349999999999999</v>
      </c>
      <c r="C52">
        <v>1.9E-3</v>
      </c>
      <c r="D52">
        <v>1.2E-2</v>
      </c>
      <c r="E52">
        <v>5.9200000000000003E-2</v>
      </c>
      <c r="F52">
        <v>5.9200000000000003E-2</v>
      </c>
      <c r="G52">
        <v>3.0000000000000001E-3</v>
      </c>
      <c r="H52">
        <v>8.9599999999999999E-2</v>
      </c>
      <c r="I52">
        <v>3.8264</v>
      </c>
      <c r="J52">
        <v>7.7000000000000002E-3</v>
      </c>
      <c r="K52">
        <v>4.9799999999999997E-2</v>
      </c>
      <c r="L52">
        <v>9.9599999999999994E-2</v>
      </c>
      <c r="M52">
        <v>9.9599999999999994E-2</v>
      </c>
      <c r="N52">
        <v>1.15E-2</v>
      </c>
      <c r="O52">
        <v>0.37140000000000001</v>
      </c>
      <c r="P52">
        <v>4.75</v>
      </c>
      <c r="Q52">
        <v>9.5999999999999992E-3</v>
      </c>
      <c r="R52">
        <v>6.1800000000000001E-2</v>
      </c>
      <c r="S52">
        <v>0.1588</v>
      </c>
      <c r="T52">
        <v>0.1588</v>
      </c>
      <c r="U52">
        <v>1.4500000000000001E-2</v>
      </c>
      <c r="V52">
        <v>0.46100000000000002</v>
      </c>
      <c r="W52" s="4" t="s">
        <v>130</v>
      </c>
      <c r="X52" s="4" t="s">
        <v>116</v>
      </c>
    </row>
    <row r="53" spans="1:24" x14ac:dyDescent="0.25">
      <c r="A53" s="4">
        <v>2104008330</v>
      </c>
      <c r="B53">
        <v>1.3424</v>
      </c>
      <c r="C53">
        <v>2.7000000000000001E-3</v>
      </c>
      <c r="D53">
        <v>1.7500000000000002E-2</v>
      </c>
      <c r="E53">
        <v>9.5500000000000002E-2</v>
      </c>
      <c r="F53">
        <v>9.5500000000000002E-2</v>
      </c>
      <c r="G53">
        <v>4.3E-3</v>
      </c>
      <c r="H53">
        <v>0.16289999999999999</v>
      </c>
      <c r="I53">
        <v>5.5618999999999996</v>
      </c>
      <c r="J53">
        <v>1.12E-2</v>
      </c>
      <c r="K53">
        <v>7.2400000000000006E-2</v>
      </c>
      <c r="L53">
        <v>0.15409999999999999</v>
      </c>
      <c r="M53">
        <v>0.15409999999999999</v>
      </c>
      <c r="N53">
        <v>1.67E-2</v>
      </c>
      <c r="O53">
        <v>0.67479999999999996</v>
      </c>
      <c r="P53">
        <v>6.9043000000000001</v>
      </c>
      <c r="Q53">
        <v>1.3899999999999999E-2</v>
      </c>
      <c r="R53">
        <v>8.9800000000000005E-2</v>
      </c>
      <c r="S53">
        <v>0.24959999999999999</v>
      </c>
      <c r="T53">
        <v>0.24959999999999999</v>
      </c>
      <c r="U53">
        <v>2.1000000000000001E-2</v>
      </c>
      <c r="V53">
        <v>0.83760000000000001</v>
      </c>
      <c r="W53" s="4" t="s">
        <v>131</v>
      </c>
      <c r="X53" s="4" t="s">
        <v>116</v>
      </c>
    </row>
    <row r="54" spans="1:24" x14ac:dyDescent="0.25">
      <c r="A54" s="4">
        <v>2104008410</v>
      </c>
      <c r="B54">
        <v>3.2000000000000002E-3</v>
      </c>
      <c r="C54">
        <v>0</v>
      </c>
      <c r="D54">
        <v>1.2999999999999999E-3</v>
      </c>
      <c r="E54">
        <v>8.9999999999999998E-4</v>
      </c>
      <c r="F54">
        <v>8.9999999999999998E-4</v>
      </c>
      <c r="G54">
        <v>1E-4</v>
      </c>
      <c r="H54">
        <v>6.9999999999999999E-4</v>
      </c>
      <c r="I54">
        <v>1.3100000000000001E-2</v>
      </c>
      <c r="J54">
        <v>1E-4</v>
      </c>
      <c r="K54">
        <v>5.3E-3</v>
      </c>
      <c r="L54">
        <v>1.5E-3</v>
      </c>
      <c r="M54">
        <v>1.5E-3</v>
      </c>
      <c r="N54">
        <v>4.0000000000000002E-4</v>
      </c>
      <c r="O54">
        <v>3.0000000000000001E-3</v>
      </c>
      <c r="P54">
        <v>1.6199999999999999E-2</v>
      </c>
      <c r="Q54">
        <v>1E-4</v>
      </c>
      <c r="R54">
        <v>6.4999999999999997E-3</v>
      </c>
      <c r="S54">
        <v>2.5000000000000001E-3</v>
      </c>
      <c r="T54">
        <v>2.5000000000000001E-3</v>
      </c>
      <c r="U54">
        <v>5.0000000000000001E-4</v>
      </c>
      <c r="V54">
        <v>3.7000000000000002E-3</v>
      </c>
      <c r="W54" s="4" t="s">
        <v>132</v>
      </c>
      <c r="X54" s="4" t="s">
        <v>116</v>
      </c>
    </row>
    <row r="55" spans="1:24" x14ac:dyDescent="0.25">
      <c r="A55" s="4">
        <v>2104008420</v>
      </c>
      <c r="B55">
        <v>2.9399999999999999E-2</v>
      </c>
      <c r="C55">
        <v>2.0000000000000001E-4</v>
      </c>
      <c r="D55">
        <v>1.1900000000000001E-2</v>
      </c>
      <c r="E55">
        <v>8.8000000000000005E-3</v>
      </c>
      <c r="F55">
        <v>8.8000000000000005E-3</v>
      </c>
      <c r="G55">
        <v>8.9999999999999998E-4</v>
      </c>
      <c r="H55">
        <v>6.7999999999999996E-3</v>
      </c>
      <c r="I55">
        <v>0.122</v>
      </c>
      <c r="J55">
        <v>8.9999999999999998E-4</v>
      </c>
      <c r="K55">
        <v>4.9200000000000001E-2</v>
      </c>
      <c r="L55">
        <v>1.35E-2</v>
      </c>
      <c r="M55">
        <v>1.35E-2</v>
      </c>
      <c r="N55">
        <v>3.3E-3</v>
      </c>
      <c r="O55">
        <v>2.8199999999999999E-2</v>
      </c>
      <c r="P55">
        <v>0.1515</v>
      </c>
      <c r="Q55">
        <v>1.1000000000000001E-3</v>
      </c>
      <c r="R55">
        <v>6.1100000000000002E-2</v>
      </c>
      <c r="S55">
        <v>2.23E-2</v>
      </c>
      <c r="T55">
        <v>2.23E-2</v>
      </c>
      <c r="U55">
        <v>4.3E-3</v>
      </c>
      <c r="V55">
        <v>3.5000000000000003E-2</v>
      </c>
      <c r="W55" s="4" t="s">
        <v>133</v>
      </c>
      <c r="X55" s="4" t="s">
        <v>116</v>
      </c>
    </row>
    <row r="56" spans="1:24" x14ac:dyDescent="0.25">
      <c r="A56" s="4">
        <v>2104008610</v>
      </c>
      <c r="B56">
        <v>4.5699999999999998E-2</v>
      </c>
      <c r="C56">
        <v>2.0000000000000001E-4</v>
      </c>
      <c r="D56">
        <v>1.1999999999999999E-3</v>
      </c>
      <c r="E56">
        <v>7.4999999999999997E-3</v>
      </c>
      <c r="F56">
        <v>7.4999999999999997E-3</v>
      </c>
      <c r="G56">
        <v>2.9999999999999997E-4</v>
      </c>
      <c r="H56">
        <v>3.4299999999999997E-2</v>
      </c>
      <c r="I56">
        <v>0.3785</v>
      </c>
      <c r="J56">
        <v>1.5E-3</v>
      </c>
      <c r="K56">
        <v>1.01E-2</v>
      </c>
      <c r="L56">
        <v>1.43E-2</v>
      </c>
      <c r="M56">
        <v>1.43E-2</v>
      </c>
      <c r="N56">
        <v>1.5E-3</v>
      </c>
      <c r="O56">
        <v>0.28370000000000001</v>
      </c>
      <c r="P56">
        <v>0.42420000000000002</v>
      </c>
      <c r="Q56">
        <v>1.6999999999999999E-3</v>
      </c>
      <c r="R56">
        <v>1.1299999999999999E-2</v>
      </c>
      <c r="S56">
        <v>2.1700000000000001E-2</v>
      </c>
      <c r="T56">
        <v>2.1700000000000001E-2</v>
      </c>
      <c r="U56">
        <v>1.8E-3</v>
      </c>
      <c r="V56">
        <v>0.318</v>
      </c>
      <c r="W56" s="4" t="s">
        <v>134</v>
      </c>
      <c r="X56" s="4" t="s">
        <v>116</v>
      </c>
    </row>
    <row r="58" spans="1:24" x14ac:dyDescent="0.25">
      <c r="B58" s="79">
        <f>SUMIFS(B39:B56,$X39:$X56,$X58)/B38</f>
        <v>0.99837979036471247</v>
      </c>
      <c r="C58" s="79">
        <f t="shared" ref="C58:V58" si="4">SUMIFS(C39:C56,$X39:$X56,$X58)/C38</f>
        <v>0.97826086956521752</v>
      </c>
      <c r="D58" s="79">
        <f t="shared" si="4"/>
        <v>0.31216931216931215</v>
      </c>
      <c r="E58" s="79">
        <f t="shared" si="4"/>
        <v>0.98168789808917223</v>
      </c>
      <c r="F58" s="79">
        <f t="shared" si="4"/>
        <v>0.98168789808917223</v>
      </c>
      <c r="G58" s="79">
        <f t="shared" si="4"/>
        <v>3.5427807486631005E-2</v>
      </c>
      <c r="H58" s="79">
        <f t="shared" si="4"/>
        <v>0.98672968551172524</v>
      </c>
      <c r="I58" s="79">
        <f t="shared" si="4"/>
        <v>0.99042409812939525</v>
      </c>
      <c r="J58" s="79">
        <f t="shared" si="4"/>
        <v>0.6581059390048154</v>
      </c>
      <c r="K58" s="79">
        <f t="shared" si="4"/>
        <v>0.12187288708586883</v>
      </c>
      <c r="L58" s="79">
        <f t="shared" si="4"/>
        <v>0.94003931847968514</v>
      </c>
      <c r="M58" s="79">
        <f t="shared" si="4"/>
        <v>0.94003931847968514</v>
      </c>
      <c r="N58" s="79">
        <f t="shared" si="4"/>
        <v>2.2309315646668673E-2</v>
      </c>
      <c r="O58" s="79">
        <f t="shared" si="4"/>
        <v>0.98540154977640337</v>
      </c>
      <c r="P58" s="79">
        <f t="shared" si="4"/>
        <v>0.99151771367531039</v>
      </c>
      <c r="Q58" s="79">
        <f t="shared" si="4"/>
        <v>0.679372197309417</v>
      </c>
      <c r="R58" s="79">
        <f t="shared" si="4"/>
        <v>0.13455018528739257</v>
      </c>
      <c r="S58" s="79">
        <f t="shared" si="4"/>
        <v>0.95206592386258126</v>
      </c>
      <c r="T58" s="79">
        <f t="shared" si="4"/>
        <v>0.95206592386258126</v>
      </c>
      <c r="U58" s="79">
        <f t="shared" si="4"/>
        <v>2.4067441250982792E-2</v>
      </c>
      <c r="V58" s="79">
        <f t="shared" si="4"/>
        <v>0.98546276853497017</v>
      </c>
      <c r="X58" s="4" t="s">
        <v>116</v>
      </c>
    </row>
    <row r="59" spans="1:24" x14ac:dyDescent="0.25">
      <c r="B59" s="79">
        <f>SUMIFS(B39:B56,$X39:$X56,$X59)/B38</f>
        <v>1.521013127004596E-3</v>
      </c>
      <c r="C59" s="79">
        <f t="shared" ref="C59:V59" si="5">SUMIFS(C39:C56,$X39:$X56,$X59)/C38</f>
        <v>2.1739130434782612E-2</v>
      </c>
      <c r="D59" s="79">
        <f t="shared" si="5"/>
        <v>0.68841857730746625</v>
      </c>
      <c r="E59" s="79">
        <f t="shared" si="5"/>
        <v>1.8710191082802547E-2</v>
      </c>
      <c r="F59" s="79">
        <f t="shared" si="5"/>
        <v>1.8710191082802547E-2</v>
      </c>
      <c r="G59" s="79">
        <f t="shared" si="5"/>
        <v>0.96457219251336901</v>
      </c>
      <c r="H59" s="79">
        <f t="shared" si="5"/>
        <v>1.3270314488274858E-2</v>
      </c>
      <c r="I59" s="79">
        <f t="shared" si="5"/>
        <v>3.4611693508209791E-3</v>
      </c>
      <c r="J59" s="79">
        <f t="shared" si="5"/>
        <v>2.8892455858747994E-2</v>
      </c>
      <c r="K59" s="79">
        <f t="shared" si="5"/>
        <v>0.78558147396889788</v>
      </c>
      <c r="L59" s="79">
        <f t="shared" si="5"/>
        <v>3.2273918741808648E-2</v>
      </c>
      <c r="M59" s="79">
        <f t="shared" si="5"/>
        <v>3.2273918741808648E-2</v>
      </c>
      <c r="N59" s="79">
        <f t="shared" si="5"/>
        <v>0.9670887348005226</v>
      </c>
      <c r="O59" s="79">
        <f t="shared" si="5"/>
        <v>1.2947655008438766E-2</v>
      </c>
      <c r="P59" s="79">
        <f t="shared" si="5"/>
        <v>3.1910415469083111E-3</v>
      </c>
      <c r="Q59" s="79">
        <f t="shared" si="5"/>
        <v>2.9147982062780266E-2</v>
      </c>
      <c r="R59" s="79">
        <f t="shared" si="5"/>
        <v>0.77907435149412596</v>
      </c>
      <c r="S59" s="79">
        <f t="shared" si="5"/>
        <v>2.8319405756731659E-2</v>
      </c>
      <c r="T59" s="79">
        <f t="shared" si="5"/>
        <v>2.8319405756731659E-2</v>
      </c>
      <c r="U59" s="79">
        <f t="shared" si="5"/>
        <v>0.96675984974229068</v>
      </c>
      <c r="V59" s="79">
        <f t="shared" si="5"/>
        <v>1.296813346562983E-2</v>
      </c>
      <c r="X59" s="4" t="s">
        <v>115</v>
      </c>
    </row>
    <row r="60" spans="1:24" x14ac:dyDescent="0.25">
      <c r="B60" s="79">
        <f>SUMIFS(B39:B56,$X39:$X56,$X60)/B38</f>
        <v>9.9196508282908442E-5</v>
      </c>
      <c r="C60" s="79">
        <f t="shared" ref="C60:V60" si="6">SUMIFS(C39:C56,$X39:$X56,$X60)/C38</f>
        <v>0</v>
      </c>
      <c r="D60" s="79">
        <f t="shared" si="6"/>
        <v>0</v>
      </c>
      <c r="E60" s="79">
        <f t="shared" si="6"/>
        <v>0</v>
      </c>
      <c r="F60" s="79">
        <f t="shared" si="6"/>
        <v>0</v>
      </c>
      <c r="G60" s="79">
        <f t="shared" si="6"/>
        <v>0</v>
      </c>
      <c r="H60" s="79">
        <f t="shared" si="6"/>
        <v>0</v>
      </c>
      <c r="I60" s="79">
        <f t="shared" si="6"/>
        <v>1.7463172633687667E-3</v>
      </c>
      <c r="J60" s="79">
        <f t="shared" si="6"/>
        <v>2.407704654895666E-3</v>
      </c>
      <c r="K60" s="79">
        <f t="shared" si="6"/>
        <v>5.4935767410412451E-4</v>
      </c>
      <c r="L60" s="79">
        <f t="shared" si="6"/>
        <v>1.1467889908256879E-3</v>
      </c>
      <c r="M60" s="79">
        <f t="shared" si="6"/>
        <v>1.1467889908256879E-3</v>
      </c>
      <c r="N60" s="79">
        <f t="shared" si="6"/>
        <v>6.532006833484072E-4</v>
      </c>
      <c r="O60" s="79">
        <f t="shared" si="6"/>
        <v>3.0798418193241593E-4</v>
      </c>
      <c r="P60" s="79">
        <f t="shared" si="6"/>
        <v>1.5208368223563011E-3</v>
      </c>
      <c r="Q60" s="79">
        <f t="shared" si="6"/>
        <v>2.242152466367713E-3</v>
      </c>
      <c r="R60" s="79">
        <f t="shared" si="6"/>
        <v>5.1249704328628883E-4</v>
      </c>
      <c r="S60" s="79">
        <f t="shared" si="6"/>
        <v>8.1244196843082632E-4</v>
      </c>
      <c r="T60" s="79">
        <f t="shared" si="6"/>
        <v>8.1244196843082632E-4</v>
      </c>
      <c r="U60" s="79">
        <f t="shared" si="6"/>
        <v>6.1151393378177689E-4</v>
      </c>
      <c r="V60" s="79">
        <f t="shared" si="6"/>
        <v>2.8843713224265639E-4</v>
      </c>
      <c r="X60" s="4" t="s">
        <v>114</v>
      </c>
    </row>
    <row r="61" spans="1:24" x14ac:dyDescent="0.25">
      <c r="B61" s="79">
        <f>SUMIFS(B39:B56,$X39:$X56,$X61)/B38</f>
        <v>0</v>
      </c>
      <c r="C61" s="79">
        <f t="shared" ref="C61:V61" si="7">SUMIFS(C39:C56,$X39:$X56,$X61)/C38</f>
        <v>0</v>
      </c>
      <c r="D61" s="79">
        <f t="shared" si="7"/>
        <v>0</v>
      </c>
      <c r="E61" s="79">
        <f t="shared" si="7"/>
        <v>0</v>
      </c>
      <c r="F61" s="79">
        <f t="shared" si="7"/>
        <v>0</v>
      </c>
      <c r="G61" s="79">
        <f t="shared" si="7"/>
        <v>0</v>
      </c>
      <c r="H61" s="79">
        <f t="shared" si="7"/>
        <v>0</v>
      </c>
      <c r="I61" s="79">
        <f t="shared" si="7"/>
        <v>4.3631710604288701E-3</v>
      </c>
      <c r="J61" s="79">
        <f t="shared" si="7"/>
        <v>0.3089887640449438</v>
      </c>
      <c r="K61" s="79">
        <f t="shared" si="7"/>
        <v>9.2038539553752546E-2</v>
      </c>
      <c r="L61" s="79">
        <f t="shared" si="7"/>
        <v>2.6539973787680207E-2</v>
      </c>
      <c r="M61" s="79">
        <f t="shared" si="7"/>
        <v>2.6539973787680207E-2</v>
      </c>
      <c r="N61" s="79">
        <f t="shared" si="7"/>
        <v>9.8985026630489387E-3</v>
      </c>
      <c r="O61" s="79">
        <f t="shared" si="7"/>
        <v>1.3674497677799268E-3</v>
      </c>
      <c r="P61" s="79">
        <f t="shared" si="7"/>
        <v>3.7658816553584602E-3</v>
      </c>
      <c r="Q61" s="79">
        <f t="shared" si="7"/>
        <v>0.28774289985052315</v>
      </c>
      <c r="R61" s="79">
        <f t="shared" si="7"/>
        <v>8.5862966175195149E-2</v>
      </c>
      <c r="S61" s="79">
        <f t="shared" si="7"/>
        <v>1.8802228412256265E-2</v>
      </c>
      <c r="T61" s="79">
        <f t="shared" si="7"/>
        <v>1.8802228412256265E-2</v>
      </c>
      <c r="U61" s="79">
        <f t="shared" si="7"/>
        <v>8.6048746396435744E-3</v>
      </c>
      <c r="V61" s="79">
        <f t="shared" si="7"/>
        <v>1.2806608671573944E-3</v>
      </c>
      <c r="X61" s="4" t="s">
        <v>113</v>
      </c>
    </row>
    <row r="64" spans="1:24" x14ac:dyDescent="0.25">
      <c r="A64" t="s">
        <v>325</v>
      </c>
    </row>
    <row r="65" spans="1:24" x14ac:dyDescent="0.25">
      <c r="A65" s="77" t="s">
        <v>221</v>
      </c>
    </row>
    <row r="67" spans="1:24" x14ac:dyDescent="0.25">
      <c r="A67" t="s">
        <v>104</v>
      </c>
      <c r="B67" s="277" t="s">
        <v>105</v>
      </c>
      <c r="C67" s="277"/>
      <c r="D67" s="277"/>
      <c r="E67" s="277"/>
      <c r="F67" s="277"/>
      <c r="G67" s="277"/>
      <c r="H67" s="277"/>
      <c r="I67" s="277" t="s">
        <v>106</v>
      </c>
      <c r="J67" s="277"/>
      <c r="K67" s="277"/>
      <c r="L67" s="277"/>
      <c r="M67" s="277"/>
      <c r="N67" s="277"/>
      <c r="O67" s="277"/>
      <c r="P67" s="277" t="s">
        <v>107</v>
      </c>
      <c r="Q67" s="277"/>
      <c r="R67" s="277"/>
      <c r="S67" s="277"/>
      <c r="T67" s="277"/>
      <c r="U67" s="277"/>
      <c r="V67" s="277"/>
      <c r="W67" s="4" t="s">
        <v>11</v>
      </c>
      <c r="X67" s="4" t="s">
        <v>108</v>
      </c>
    </row>
    <row r="68" spans="1:24" x14ac:dyDescent="0.25">
      <c r="A68" s="7" t="s">
        <v>109</v>
      </c>
      <c r="B68" s="7" t="s">
        <v>14</v>
      </c>
      <c r="C68" s="7" t="s">
        <v>6</v>
      </c>
      <c r="D68" s="7" t="s">
        <v>110</v>
      </c>
      <c r="E68" s="7" t="s">
        <v>13</v>
      </c>
      <c r="F68" s="7" t="s">
        <v>12</v>
      </c>
      <c r="G68" s="7" t="s">
        <v>4</v>
      </c>
      <c r="H68" s="7" t="s">
        <v>5</v>
      </c>
      <c r="I68" s="7" t="s">
        <v>14</v>
      </c>
      <c r="J68" s="7" t="s">
        <v>6</v>
      </c>
      <c r="K68" s="7" t="s">
        <v>110</v>
      </c>
      <c r="L68" s="7" t="s">
        <v>13</v>
      </c>
      <c r="M68" s="7" t="s">
        <v>12</v>
      </c>
      <c r="N68" s="7" t="s">
        <v>4</v>
      </c>
      <c r="O68" s="7" t="s">
        <v>5</v>
      </c>
      <c r="P68" s="7" t="s">
        <v>14</v>
      </c>
      <c r="Q68" s="7" t="s">
        <v>6</v>
      </c>
      <c r="R68" s="7" t="s">
        <v>110</v>
      </c>
      <c r="S68" s="7" t="s">
        <v>13</v>
      </c>
      <c r="T68" s="7" t="s">
        <v>12</v>
      </c>
      <c r="U68" s="7" t="s">
        <v>4</v>
      </c>
      <c r="V68" s="7" t="s">
        <v>5</v>
      </c>
      <c r="W68" s="7" t="s">
        <v>111</v>
      </c>
      <c r="X68" s="7" t="s">
        <v>68</v>
      </c>
    </row>
    <row r="69" spans="1:24" x14ac:dyDescent="0.25">
      <c r="A69" s="4" t="s">
        <v>112</v>
      </c>
      <c r="B69">
        <v>3.0243000000000002</v>
      </c>
      <c r="C69">
        <v>9.1999999999999998E-3</v>
      </c>
      <c r="D69">
        <v>0.1701</v>
      </c>
      <c r="E69">
        <v>0.25119999999999998</v>
      </c>
      <c r="F69">
        <v>0.25119999999999998</v>
      </c>
      <c r="G69">
        <v>0.29920000000000002</v>
      </c>
      <c r="H69">
        <v>0.55010000000000003</v>
      </c>
      <c r="I69">
        <v>19.0687</v>
      </c>
      <c r="J69" s="78">
        <v>0.1246</v>
      </c>
      <c r="K69" s="78">
        <v>2.3664000000000001</v>
      </c>
      <c r="L69">
        <v>0.61040000000000005</v>
      </c>
      <c r="M69" s="82">
        <v>0.61040000000000005</v>
      </c>
      <c r="N69" s="78">
        <v>1.9902</v>
      </c>
      <c r="O69" s="78">
        <v>8.1173000000000002</v>
      </c>
      <c r="P69">
        <v>22.0931</v>
      </c>
      <c r="Q69" s="78">
        <v>0.1338</v>
      </c>
      <c r="R69" s="78">
        <v>2.5366</v>
      </c>
      <c r="S69">
        <v>0.86160000000000003</v>
      </c>
      <c r="T69" s="82">
        <v>0.86160000000000003</v>
      </c>
      <c r="U69" s="78">
        <v>2.2894000000000001</v>
      </c>
      <c r="V69" s="78">
        <v>8.6674000000000007</v>
      </c>
    </row>
    <row r="70" spans="1:24" x14ac:dyDescent="0.25">
      <c r="A70" s="4">
        <v>2102012000</v>
      </c>
      <c r="B70">
        <v>0</v>
      </c>
      <c r="C70">
        <v>0</v>
      </c>
      <c r="D70">
        <v>0</v>
      </c>
      <c r="E70">
        <v>0</v>
      </c>
      <c r="F70">
        <v>0</v>
      </c>
      <c r="G70">
        <v>0</v>
      </c>
      <c r="H70">
        <v>0</v>
      </c>
      <c r="I70">
        <v>6.1999999999999998E-3</v>
      </c>
      <c r="J70">
        <v>0</v>
      </c>
      <c r="K70">
        <v>2.6200000000000001E-2</v>
      </c>
      <c r="L70">
        <v>2.5999999999999999E-3</v>
      </c>
      <c r="M70">
        <v>2.5999999999999999E-3</v>
      </c>
      <c r="N70">
        <v>1.8499999999999999E-2</v>
      </c>
      <c r="O70">
        <v>5.0000000000000001E-4</v>
      </c>
      <c r="P70">
        <v>6.1999999999999998E-3</v>
      </c>
      <c r="Q70">
        <v>0</v>
      </c>
      <c r="R70">
        <v>2.6200000000000001E-2</v>
      </c>
      <c r="S70">
        <v>2.5999999999999999E-3</v>
      </c>
      <c r="T70">
        <v>2.5999999999999999E-3</v>
      </c>
      <c r="U70">
        <v>1.8499999999999999E-2</v>
      </c>
      <c r="V70">
        <v>5.0000000000000001E-4</v>
      </c>
      <c r="W70" s="4" t="s">
        <v>117</v>
      </c>
      <c r="X70" s="4" t="s">
        <v>113</v>
      </c>
    </row>
    <row r="71" spans="1:24" x14ac:dyDescent="0.25">
      <c r="A71" s="4">
        <v>2103002000</v>
      </c>
      <c r="B71">
        <v>2.0000000000000001E-4</v>
      </c>
      <c r="C71">
        <v>0</v>
      </c>
      <c r="D71">
        <v>0</v>
      </c>
      <c r="E71">
        <v>0</v>
      </c>
      <c r="F71">
        <v>0</v>
      </c>
      <c r="G71">
        <v>0</v>
      </c>
      <c r="H71">
        <v>0</v>
      </c>
      <c r="I71">
        <v>4.1999999999999997E-3</v>
      </c>
      <c r="J71">
        <v>0</v>
      </c>
      <c r="K71">
        <v>2.0000000000000001E-4</v>
      </c>
      <c r="L71">
        <v>2.9999999999999997E-4</v>
      </c>
      <c r="M71">
        <v>2.9999999999999997E-4</v>
      </c>
      <c r="N71">
        <v>2.9999999999999997E-4</v>
      </c>
      <c r="O71">
        <v>2.9999999999999997E-4</v>
      </c>
      <c r="P71">
        <v>4.4999999999999997E-3</v>
      </c>
      <c r="Q71">
        <v>0</v>
      </c>
      <c r="R71">
        <v>2.0000000000000001E-4</v>
      </c>
      <c r="S71">
        <v>2.9999999999999997E-4</v>
      </c>
      <c r="T71">
        <v>2.9999999999999997E-4</v>
      </c>
      <c r="U71">
        <v>2.9999999999999997E-4</v>
      </c>
      <c r="V71">
        <v>2.9999999999999997E-4</v>
      </c>
      <c r="W71" s="4" t="s">
        <v>118</v>
      </c>
      <c r="X71" s="4" t="s">
        <v>114</v>
      </c>
    </row>
    <row r="72" spans="1:24" x14ac:dyDescent="0.25">
      <c r="A72" s="4">
        <v>2103004001</v>
      </c>
      <c r="B72">
        <v>2.0000000000000001E-4</v>
      </c>
      <c r="C72">
        <v>0</v>
      </c>
      <c r="D72">
        <v>7.0000000000000001E-3</v>
      </c>
      <c r="E72">
        <v>2.0000000000000001E-4</v>
      </c>
      <c r="F72">
        <v>2.0000000000000001E-4</v>
      </c>
      <c r="G72">
        <v>5.0000000000000001E-3</v>
      </c>
      <c r="H72">
        <v>2.9999999999999997E-4</v>
      </c>
      <c r="I72">
        <v>1.3599999999999999E-2</v>
      </c>
      <c r="J72">
        <v>6.9999999999999999E-4</v>
      </c>
      <c r="K72">
        <v>0.54520000000000002</v>
      </c>
      <c r="L72">
        <v>7.6E-3</v>
      </c>
      <c r="M72">
        <v>7.6E-3</v>
      </c>
      <c r="N72">
        <v>0.39650000000000002</v>
      </c>
      <c r="O72">
        <v>2.1600000000000001E-2</v>
      </c>
      <c r="P72">
        <v>1.37E-2</v>
      </c>
      <c r="Q72">
        <v>8.0000000000000004E-4</v>
      </c>
      <c r="R72">
        <v>0.55230000000000001</v>
      </c>
      <c r="S72">
        <v>7.7999999999999996E-3</v>
      </c>
      <c r="T72">
        <v>7.7999999999999996E-3</v>
      </c>
      <c r="U72">
        <v>0.40150000000000002</v>
      </c>
      <c r="V72">
        <v>2.1899999999999999E-2</v>
      </c>
      <c r="W72" s="4" t="s">
        <v>119</v>
      </c>
      <c r="X72" s="4" t="s">
        <v>115</v>
      </c>
    </row>
    <row r="73" spans="1:24" x14ac:dyDescent="0.25">
      <c r="A73" s="4">
        <v>2103006000</v>
      </c>
      <c r="B73">
        <v>0</v>
      </c>
      <c r="C73">
        <v>0</v>
      </c>
      <c r="D73">
        <v>0</v>
      </c>
      <c r="E73">
        <v>0</v>
      </c>
      <c r="F73">
        <v>0</v>
      </c>
      <c r="G73">
        <v>0</v>
      </c>
      <c r="H73">
        <v>0</v>
      </c>
      <c r="I73">
        <v>7.1499999999999994E-2</v>
      </c>
      <c r="J73">
        <v>3.5700000000000003E-2</v>
      </c>
      <c r="K73">
        <v>0.17860000000000001</v>
      </c>
      <c r="L73">
        <v>1.3599999999999999E-2</v>
      </c>
      <c r="M73">
        <v>1.3599999999999999E-2</v>
      </c>
      <c r="N73">
        <v>1.1000000000000001E-3</v>
      </c>
      <c r="O73">
        <v>9.7999999999999997E-3</v>
      </c>
      <c r="P73">
        <v>7.1499999999999994E-2</v>
      </c>
      <c r="Q73">
        <v>3.5700000000000003E-2</v>
      </c>
      <c r="R73">
        <v>0.17860000000000001</v>
      </c>
      <c r="S73">
        <v>1.3599999999999999E-2</v>
      </c>
      <c r="T73">
        <v>1.3599999999999999E-2</v>
      </c>
      <c r="U73">
        <v>1.1000000000000001E-3</v>
      </c>
      <c r="V73">
        <v>9.7999999999999997E-3</v>
      </c>
      <c r="W73" s="4" t="s">
        <v>120</v>
      </c>
      <c r="X73" s="4" t="s">
        <v>113</v>
      </c>
    </row>
    <row r="74" spans="1:24" x14ac:dyDescent="0.25">
      <c r="A74" s="4">
        <v>2103008000</v>
      </c>
      <c r="B74">
        <v>2.9999999999999997E-4</v>
      </c>
      <c r="C74">
        <v>0</v>
      </c>
      <c r="D74">
        <v>0</v>
      </c>
      <c r="E74">
        <v>0</v>
      </c>
      <c r="F74">
        <v>0</v>
      </c>
      <c r="G74">
        <v>0</v>
      </c>
      <c r="H74">
        <v>2.0000000000000001E-4</v>
      </c>
      <c r="I74">
        <v>1.8E-3</v>
      </c>
      <c r="J74">
        <v>0</v>
      </c>
      <c r="K74">
        <v>0</v>
      </c>
      <c r="L74">
        <v>2.9999999999999997E-4</v>
      </c>
      <c r="M74">
        <v>2.9999999999999997E-4</v>
      </c>
      <c r="N74">
        <v>0</v>
      </c>
      <c r="O74">
        <v>8.9999999999999998E-4</v>
      </c>
      <c r="P74">
        <v>2.0999999999999999E-3</v>
      </c>
      <c r="Q74">
        <v>0</v>
      </c>
      <c r="R74">
        <v>0</v>
      </c>
      <c r="S74">
        <v>2.9999999999999997E-4</v>
      </c>
      <c r="T74">
        <v>2.9999999999999997E-4</v>
      </c>
      <c r="U74">
        <v>0</v>
      </c>
      <c r="V74">
        <v>1E-3</v>
      </c>
      <c r="W74" s="4" t="s">
        <v>121</v>
      </c>
      <c r="X74" s="4" t="s">
        <v>116</v>
      </c>
    </row>
    <row r="75" spans="1:24" x14ac:dyDescent="0.25">
      <c r="A75" s="4">
        <v>2104002000</v>
      </c>
      <c r="B75">
        <v>1E-4</v>
      </c>
      <c r="C75">
        <v>0</v>
      </c>
      <c r="D75">
        <v>0</v>
      </c>
      <c r="E75">
        <v>0</v>
      </c>
      <c r="F75">
        <v>0</v>
      </c>
      <c r="G75">
        <v>0</v>
      </c>
      <c r="H75">
        <v>0</v>
      </c>
      <c r="I75">
        <v>2.9100000000000001E-2</v>
      </c>
      <c r="J75">
        <v>2.9999999999999997E-4</v>
      </c>
      <c r="K75">
        <v>1.1000000000000001E-3</v>
      </c>
      <c r="L75">
        <v>4.0000000000000002E-4</v>
      </c>
      <c r="M75">
        <v>4.0000000000000002E-4</v>
      </c>
      <c r="N75">
        <v>1E-3</v>
      </c>
      <c r="O75">
        <v>2.2000000000000001E-3</v>
      </c>
      <c r="P75">
        <v>2.9100000000000001E-2</v>
      </c>
      <c r="Q75">
        <v>2.9999999999999997E-4</v>
      </c>
      <c r="R75">
        <v>1.1000000000000001E-3</v>
      </c>
      <c r="S75">
        <v>4.0000000000000002E-4</v>
      </c>
      <c r="T75">
        <v>4.0000000000000002E-4</v>
      </c>
      <c r="U75">
        <v>1.1000000000000001E-3</v>
      </c>
      <c r="V75">
        <v>2.2000000000000001E-3</v>
      </c>
      <c r="W75" s="4" t="s">
        <v>122</v>
      </c>
      <c r="X75" s="4" t="s">
        <v>114</v>
      </c>
    </row>
    <row r="76" spans="1:24" x14ac:dyDescent="0.25">
      <c r="A76" s="4">
        <v>2104004000</v>
      </c>
      <c r="B76">
        <v>4.4000000000000003E-3</v>
      </c>
      <c r="C76">
        <v>2.0000000000000001E-4</v>
      </c>
      <c r="D76">
        <v>0.1101</v>
      </c>
      <c r="E76">
        <v>4.4999999999999997E-3</v>
      </c>
      <c r="F76">
        <v>4.4999999999999997E-3</v>
      </c>
      <c r="G76">
        <v>0.28360000000000002</v>
      </c>
      <c r="H76">
        <v>7.0000000000000001E-3</v>
      </c>
      <c r="I76">
        <v>5.2400000000000002E-2</v>
      </c>
      <c r="J76">
        <v>2.8999999999999998E-3</v>
      </c>
      <c r="K76">
        <v>1.3138000000000001</v>
      </c>
      <c r="L76">
        <v>1.21E-2</v>
      </c>
      <c r="M76">
        <v>1.21E-2</v>
      </c>
      <c r="N76">
        <v>1.5282</v>
      </c>
      <c r="O76">
        <v>8.3500000000000005E-2</v>
      </c>
      <c r="P76">
        <v>5.6800000000000003E-2</v>
      </c>
      <c r="Q76">
        <v>3.0999999999999999E-3</v>
      </c>
      <c r="R76">
        <v>1.4238999999999999</v>
      </c>
      <c r="S76">
        <v>1.66E-2</v>
      </c>
      <c r="T76">
        <v>1.66E-2</v>
      </c>
      <c r="U76">
        <v>1.8118000000000001</v>
      </c>
      <c r="V76">
        <v>9.0499999999999997E-2</v>
      </c>
      <c r="W76" s="4" t="s">
        <v>123</v>
      </c>
      <c r="X76" s="4" t="s">
        <v>115</v>
      </c>
    </row>
    <row r="77" spans="1:24" x14ac:dyDescent="0.25">
      <c r="A77" s="4">
        <v>2104006010</v>
      </c>
      <c r="B77">
        <v>0</v>
      </c>
      <c r="C77">
        <v>0</v>
      </c>
      <c r="D77">
        <v>0</v>
      </c>
      <c r="E77">
        <v>0</v>
      </c>
      <c r="F77">
        <v>0</v>
      </c>
      <c r="G77">
        <v>0</v>
      </c>
      <c r="H77">
        <v>0</v>
      </c>
      <c r="I77">
        <v>5.4999999999999997E-3</v>
      </c>
      <c r="J77">
        <v>2.8E-3</v>
      </c>
      <c r="K77">
        <v>1.2999999999999999E-2</v>
      </c>
      <c r="L77">
        <v>0</v>
      </c>
      <c r="M77">
        <v>0</v>
      </c>
      <c r="N77">
        <v>1E-4</v>
      </c>
      <c r="O77">
        <v>8.0000000000000004E-4</v>
      </c>
      <c r="P77">
        <v>5.4999999999999997E-3</v>
      </c>
      <c r="Q77">
        <v>2.8E-3</v>
      </c>
      <c r="R77">
        <v>1.2999999999999999E-2</v>
      </c>
      <c r="S77">
        <v>0</v>
      </c>
      <c r="T77">
        <v>0</v>
      </c>
      <c r="U77">
        <v>1E-4</v>
      </c>
      <c r="V77">
        <v>8.0000000000000004E-4</v>
      </c>
      <c r="W77" s="4" t="s">
        <v>124</v>
      </c>
      <c r="X77" s="4" t="s">
        <v>113</v>
      </c>
    </row>
    <row r="78" spans="1:24" x14ac:dyDescent="0.25">
      <c r="A78" s="4">
        <v>2104008100</v>
      </c>
      <c r="B78">
        <v>0.111</v>
      </c>
      <c r="C78">
        <v>8.0000000000000004E-4</v>
      </c>
      <c r="D78">
        <v>1.1000000000000001E-3</v>
      </c>
      <c r="E78">
        <v>1.52E-2</v>
      </c>
      <c r="F78">
        <v>1.52E-2</v>
      </c>
      <c r="G78">
        <v>2.0000000000000001E-4</v>
      </c>
      <c r="H78">
        <v>0.10059999999999999</v>
      </c>
      <c r="I78">
        <v>6.6456999999999997</v>
      </c>
      <c r="J78">
        <v>4.7399999999999998E-2</v>
      </c>
      <c r="K78">
        <v>6.8400000000000002E-2</v>
      </c>
      <c r="L78">
        <v>0.21579999999999999</v>
      </c>
      <c r="M78">
        <v>0.21579999999999999</v>
      </c>
      <c r="N78">
        <v>5.7000000000000002E-3</v>
      </c>
      <c r="O78">
        <v>6.0247999999999999</v>
      </c>
      <c r="P78">
        <v>6.7567000000000004</v>
      </c>
      <c r="Q78">
        <v>4.8099999999999997E-2</v>
      </c>
      <c r="R78">
        <v>6.9500000000000006E-2</v>
      </c>
      <c r="S78">
        <v>0.23100000000000001</v>
      </c>
      <c r="T78">
        <v>0.23100000000000001</v>
      </c>
      <c r="U78">
        <v>5.8999999999999999E-3</v>
      </c>
      <c r="V78">
        <v>6.1254</v>
      </c>
      <c r="W78" s="4" t="s">
        <v>125</v>
      </c>
      <c r="X78" s="4" t="s">
        <v>116</v>
      </c>
    </row>
    <row r="79" spans="1:24" x14ac:dyDescent="0.25">
      <c r="A79" s="4">
        <v>2104008210</v>
      </c>
      <c r="B79">
        <v>5.5399999999999998E-2</v>
      </c>
      <c r="C79">
        <v>4.0000000000000002E-4</v>
      </c>
      <c r="D79">
        <v>6.9999999999999999E-4</v>
      </c>
      <c r="E79">
        <v>7.3000000000000001E-3</v>
      </c>
      <c r="F79">
        <v>7.3000000000000001E-3</v>
      </c>
      <c r="G79">
        <v>1E-4</v>
      </c>
      <c r="H79">
        <v>1.2699999999999999E-2</v>
      </c>
      <c r="I79">
        <v>0.2296</v>
      </c>
      <c r="J79">
        <v>1.6999999999999999E-3</v>
      </c>
      <c r="K79">
        <v>2.8E-3</v>
      </c>
      <c r="L79">
        <v>7.0000000000000001E-3</v>
      </c>
      <c r="M79">
        <v>7.0000000000000001E-3</v>
      </c>
      <c r="N79">
        <v>2.0000000000000001E-4</v>
      </c>
      <c r="O79">
        <v>5.2699999999999997E-2</v>
      </c>
      <c r="P79">
        <v>0.28499999999999998</v>
      </c>
      <c r="Q79">
        <v>2.0999999999999999E-3</v>
      </c>
      <c r="R79">
        <v>3.5000000000000001E-3</v>
      </c>
      <c r="S79">
        <v>1.43E-2</v>
      </c>
      <c r="T79">
        <v>1.43E-2</v>
      </c>
      <c r="U79">
        <v>2.9999999999999997E-4</v>
      </c>
      <c r="V79">
        <v>6.5500000000000003E-2</v>
      </c>
      <c r="W79" s="4" t="s">
        <v>126</v>
      </c>
      <c r="X79" s="4" t="s">
        <v>116</v>
      </c>
    </row>
    <row r="80" spans="1:24" x14ac:dyDescent="0.25">
      <c r="A80" s="4">
        <v>2104008220</v>
      </c>
      <c r="B80">
        <v>0.1285</v>
      </c>
      <c r="C80">
        <v>8.0000000000000004E-4</v>
      </c>
      <c r="D80">
        <v>1.8E-3</v>
      </c>
      <c r="E80">
        <v>1.0999999999999999E-2</v>
      </c>
      <c r="F80">
        <v>1.0999999999999999E-2</v>
      </c>
      <c r="G80">
        <v>4.0000000000000002E-4</v>
      </c>
      <c r="H80">
        <v>1.0999999999999999E-2</v>
      </c>
      <c r="I80">
        <v>0.53259999999999996</v>
      </c>
      <c r="J80">
        <v>3.3999999999999998E-3</v>
      </c>
      <c r="K80">
        <v>7.6E-3</v>
      </c>
      <c r="L80">
        <v>1.8599999999999998E-2</v>
      </c>
      <c r="M80">
        <v>1.8599999999999998E-2</v>
      </c>
      <c r="N80">
        <v>1.4E-3</v>
      </c>
      <c r="O80">
        <v>4.5400000000000003E-2</v>
      </c>
      <c r="P80">
        <v>0.66110000000000002</v>
      </c>
      <c r="Q80">
        <v>4.1999999999999997E-3</v>
      </c>
      <c r="R80">
        <v>9.4000000000000004E-3</v>
      </c>
      <c r="S80">
        <v>2.9499999999999998E-2</v>
      </c>
      <c r="T80">
        <v>2.9499999999999998E-2</v>
      </c>
      <c r="U80">
        <v>1.8E-3</v>
      </c>
      <c r="V80">
        <v>5.6300000000000003E-2</v>
      </c>
      <c r="W80" s="4" t="s">
        <v>127</v>
      </c>
      <c r="X80" s="4" t="s">
        <v>116</v>
      </c>
    </row>
    <row r="81" spans="1:24" x14ac:dyDescent="0.25">
      <c r="A81" s="4">
        <v>2104008230</v>
      </c>
      <c r="B81">
        <v>0.14199999999999999</v>
      </c>
      <c r="C81">
        <v>1.1999999999999999E-3</v>
      </c>
      <c r="D81">
        <v>2.7000000000000001E-3</v>
      </c>
      <c r="E81">
        <v>1.7299999999999999E-2</v>
      </c>
      <c r="F81">
        <v>1.7299999999999999E-2</v>
      </c>
      <c r="G81">
        <v>5.0000000000000001E-4</v>
      </c>
      <c r="H81">
        <v>1.9900000000000001E-2</v>
      </c>
      <c r="I81">
        <v>0.58830000000000005</v>
      </c>
      <c r="J81">
        <v>4.8999999999999998E-3</v>
      </c>
      <c r="K81">
        <v>1.0999999999999999E-2</v>
      </c>
      <c r="L81">
        <v>2.6200000000000001E-2</v>
      </c>
      <c r="M81">
        <v>2.6200000000000001E-2</v>
      </c>
      <c r="N81">
        <v>2E-3</v>
      </c>
      <c r="O81">
        <v>8.2500000000000004E-2</v>
      </c>
      <c r="P81">
        <v>0.73029999999999995</v>
      </c>
      <c r="Q81">
        <v>6.1000000000000004E-3</v>
      </c>
      <c r="R81">
        <v>1.37E-2</v>
      </c>
      <c r="S81">
        <v>4.3499999999999997E-2</v>
      </c>
      <c r="T81">
        <v>4.3499999999999997E-2</v>
      </c>
      <c r="U81">
        <v>2.5000000000000001E-3</v>
      </c>
      <c r="V81">
        <v>0.1024</v>
      </c>
      <c r="W81" s="4" t="s">
        <v>128</v>
      </c>
      <c r="X81" s="4" t="s">
        <v>116</v>
      </c>
    </row>
    <row r="82" spans="1:24" x14ac:dyDescent="0.25">
      <c r="A82" s="4">
        <v>2104008310</v>
      </c>
      <c r="B82">
        <v>0.23799999999999999</v>
      </c>
      <c r="C82">
        <v>8.0000000000000004E-4</v>
      </c>
      <c r="D82">
        <v>2.8999999999999998E-3</v>
      </c>
      <c r="E82">
        <v>2.3900000000000001E-2</v>
      </c>
      <c r="F82">
        <v>2.3900000000000001E-2</v>
      </c>
      <c r="G82">
        <v>8.0000000000000004E-4</v>
      </c>
      <c r="H82">
        <v>0.1041</v>
      </c>
      <c r="I82">
        <v>0.98619999999999997</v>
      </c>
      <c r="J82">
        <v>3.2000000000000002E-3</v>
      </c>
      <c r="K82">
        <v>1.18E-2</v>
      </c>
      <c r="L82">
        <v>2.29E-2</v>
      </c>
      <c r="M82">
        <v>2.29E-2</v>
      </c>
      <c r="N82">
        <v>1.6999999999999999E-3</v>
      </c>
      <c r="O82">
        <v>0.43140000000000001</v>
      </c>
      <c r="P82">
        <v>1.2242999999999999</v>
      </c>
      <c r="Q82">
        <v>4.0000000000000001E-3</v>
      </c>
      <c r="R82">
        <v>1.47E-2</v>
      </c>
      <c r="S82">
        <v>4.6800000000000001E-2</v>
      </c>
      <c r="T82">
        <v>4.6800000000000001E-2</v>
      </c>
      <c r="U82">
        <v>2.5000000000000001E-3</v>
      </c>
      <c r="V82">
        <v>0.53549999999999998</v>
      </c>
      <c r="W82" s="4" t="s">
        <v>129</v>
      </c>
      <c r="X82" s="4" t="s">
        <v>116</v>
      </c>
    </row>
    <row r="83" spans="1:24" x14ac:dyDescent="0.25">
      <c r="A83" s="4">
        <v>2104008320</v>
      </c>
      <c r="B83">
        <v>0.92349999999999999</v>
      </c>
      <c r="C83">
        <v>1.9E-3</v>
      </c>
      <c r="D83">
        <v>1.2E-2</v>
      </c>
      <c r="E83">
        <v>5.9200000000000003E-2</v>
      </c>
      <c r="F83">
        <v>5.9200000000000003E-2</v>
      </c>
      <c r="G83">
        <v>3.0000000000000001E-3</v>
      </c>
      <c r="H83">
        <v>8.9599999999999999E-2</v>
      </c>
      <c r="I83">
        <v>3.8264</v>
      </c>
      <c r="J83">
        <v>7.7000000000000002E-3</v>
      </c>
      <c r="K83">
        <v>4.9799999999999997E-2</v>
      </c>
      <c r="L83">
        <v>9.9599999999999994E-2</v>
      </c>
      <c r="M83">
        <v>9.9599999999999994E-2</v>
      </c>
      <c r="N83">
        <v>1.15E-2</v>
      </c>
      <c r="O83">
        <v>0.37140000000000001</v>
      </c>
      <c r="P83">
        <v>4.75</v>
      </c>
      <c r="Q83">
        <v>9.5999999999999992E-3</v>
      </c>
      <c r="R83">
        <v>6.1800000000000001E-2</v>
      </c>
      <c r="S83">
        <v>0.1588</v>
      </c>
      <c r="T83">
        <v>0.1588</v>
      </c>
      <c r="U83">
        <v>1.4500000000000001E-2</v>
      </c>
      <c r="V83">
        <v>0.46100000000000002</v>
      </c>
      <c r="W83" s="4" t="s">
        <v>130</v>
      </c>
      <c r="X83" s="4" t="s">
        <v>116</v>
      </c>
    </row>
    <row r="84" spans="1:24" x14ac:dyDescent="0.25">
      <c r="A84" s="4">
        <v>2104008330</v>
      </c>
      <c r="B84">
        <v>1.3424</v>
      </c>
      <c r="C84">
        <v>2.7000000000000001E-3</v>
      </c>
      <c r="D84">
        <v>1.7500000000000002E-2</v>
      </c>
      <c r="E84">
        <v>9.5500000000000002E-2</v>
      </c>
      <c r="F84">
        <v>9.5500000000000002E-2</v>
      </c>
      <c r="G84">
        <v>4.3E-3</v>
      </c>
      <c r="H84">
        <v>0.16289999999999999</v>
      </c>
      <c r="I84">
        <v>5.5618999999999996</v>
      </c>
      <c r="J84">
        <v>1.12E-2</v>
      </c>
      <c r="K84">
        <v>7.2400000000000006E-2</v>
      </c>
      <c r="L84">
        <v>0.15409999999999999</v>
      </c>
      <c r="M84">
        <v>0.15409999999999999</v>
      </c>
      <c r="N84">
        <v>1.67E-2</v>
      </c>
      <c r="O84">
        <v>0.67479999999999996</v>
      </c>
      <c r="P84">
        <v>6.9043000000000001</v>
      </c>
      <c r="Q84">
        <v>1.3899999999999999E-2</v>
      </c>
      <c r="R84">
        <v>8.9800000000000005E-2</v>
      </c>
      <c r="S84">
        <v>0.24959999999999999</v>
      </c>
      <c r="T84">
        <v>0.24959999999999999</v>
      </c>
      <c r="U84">
        <v>2.1000000000000001E-2</v>
      </c>
      <c r="V84">
        <v>0.83760000000000001</v>
      </c>
      <c r="W84" s="4" t="s">
        <v>131</v>
      </c>
      <c r="X84" s="4" t="s">
        <v>116</v>
      </c>
    </row>
    <row r="85" spans="1:24" x14ac:dyDescent="0.25">
      <c r="A85" s="4">
        <v>2104008410</v>
      </c>
      <c r="B85">
        <v>3.2000000000000002E-3</v>
      </c>
      <c r="C85">
        <v>0</v>
      </c>
      <c r="D85">
        <v>1.2999999999999999E-3</v>
      </c>
      <c r="E85">
        <v>8.9999999999999998E-4</v>
      </c>
      <c r="F85">
        <v>8.9999999999999998E-4</v>
      </c>
      <c r="G85">
        <v>1E-4</v>
      </c>
      <c r="H85">
        <v>6.9999999999999999E-4</v>
      </c>
      <c r="I85">
        <v>1.3100000000000001E-2</v>
      </c>
      <c r="J85">
        <v>1E-4</v>
      </c>
      <c r="K85">
        <v>5.3E-3</v>
      </c>
      <c r="L85">
        <v>1.5E-3</v>
      </c>
      <c r="M85">
        <v>1.5E-3</v>
      </c>
      <c r="N85">
        <v>4.0000000000000002E-4</v>
      </c>
      <c r="O85">
        <v>3.0000000000000001E-3</v>
      </c>
      <c r="P85">
        <v>1.6199999999999999E-2</v>
      </c>
      <c r="Q85">
        <v>1E-4</v>
      </c>
      <c r="R85">
        <v>6.4999999999999997E-3</v>
      </c>
      <c r="S85">
        <v>2.5000000000000001E-3</v>
      </c>
      <c r="T85">
        <v>2.5000000000000001E-3</v>
      </c>
      <c r="U85">
        <v>5.0000000000000001E-4</v>
      </c>
      <c r="V85">
        <v>3.7000000000000002E-3</v>
      </c>
      <c r="W85" s="4" t="s">
        <v>132</v>
      </c>
      <c r="X85" s="4" t="s">
        <v>116</v>
      </c>
    </row>
    <row r="86" spans="1:24" x14ac:dyDescent="0.25">
      <c r="A86" s="4">
        <v>2104008420</v>
      </c>
      <c r="B86">
        <v>2.9399999999999999E-2</v>
      </c>
      <c r="C86">
        <v>2.0000000000000001E-4</v>
      </c>
      <c r="D86">
        <v>1.1900000000000001E-2</v>
      </c>
      <c r="E86">
        <v>8.8000000000000005E-3</v>
      </c>
      <c r="F86">
        <v>8.8000000000000005E-3</v>
      </c>
      <c r="G86">
        <v>8.9999999999999998E-4</v>
      </c>
      <c r="H86">
        <v>6.7999999999999996E-3</v>
      </c>
      <c r="I86">
        <v>0.122</v>
      </c>
      <c r="J86">
        <v>8.9999999999999998E-4</v>
      </c>
      <c r="K86">
        <v>4.9200000000000001E-2</v>
      </c>
      <c r="L86">
        <v>1.35E-2</v>
      </c>
      <c r="M86">
        <v>1.35E-2</v>
      </c>
      <c r="N86">
        <v>3.3E-3</v>
      </c>
      <c r="O86">
        <v>2.8199999999999999E-2</v>
      </c>
      <c r="P86">
        <v>0.1515</v>
      </c>
      <c r="Q86">
        <v>1.1000000000000001E-3</v>
      </c>
      <c r="R86">
        <v>6.1100000000000002E-2</v>
      </c>
      <c r="S86">
        <v>2.23E-2</v>
      </c>
      <c r="T86">
        <v>2.23E-2</v>
      </c>
      <c r="U86">
        <v>4.3E-3</v>
      </c>
      <c r="V86">
        <v>3.5000000000000003E-2</v>
      </c>
      <c r="W86" s="4" t="s">
        <v>133</v>
      </c>
      <c r="X86" s="4" t="s">
        <v>116</v>
      </c>
    </row>
    <row r="87" spans="1:24" x14ac:dyDescent="0.25">
      <c r="A87" s="4">
        <v>2104008610</v>
      </c>
      <c r="B87">
        <v>4.5699999999999998E-2</v>
      </c>
      <c r="C87">
        <v>2.0000000000000001E-4</v>
      </c>
      <c r="D87">
        <v>1.1999999999999999E-3</v>
      </c>
      <c r="E87">
        <v>7.4999999999999997E-3</v>
      </c>
      <c r="F87">
        <v>7.4999999999999997E-3</v>
      </c>
      <c r="G87">
        <v>2.9999999999999997E-4</v>
      </c>
      <c r="H87">
        <v>3.4299999999999997E-2</v>
      </c>
      <c r="I87">
        <v>0.3785</v>
      </c>
      <c r="J87">
        <v>1.5E-3</v>
      </c>
      <c r="K87">
        <v>1.01E-2</v>
      </c>
      <c r="L87">
        <v>1.43E-2</v>
      </c>
      <c r="M87">
        <v>1.43E-2</v>
      </c>
      <c r="N87">
        <v>1.5E-3</v>
      </c>
      <c r="O87">
        <v>0.28370000000000001</v>
      </c>
      <c r="P87">
        <v>0.42420000000000002</v>
      </c>
      <c r="Q87">
        <v>1.6999999999999999E-3</v>
      </c>
      <c r="R87">
        <v>1.1299999999999999E-2</v>
      </c>
      <c r="S87">
        <v>2.1700000000000001E-2</v>
      </c>
      <c r="T87">
        <v>2.1700000000000001E-2</v>
      </c>
      <c r="U87">
        <v>1.8E-3</v>
      </c>
      <c r="V87">
        <v>0.318</v>
      </c>
      <c r="W87" s="4" t="s">
        <v>134</v>
      </c>
      <c r="X87" s="4" t="s">
        <v>116</v>
      </c>
    </row>
    <row r="89" spans="1:24" x14ac:dyDescent="0.25">
      <c r="B89" s="80">
        <f>SUMIFS(B70:B87,$X70:$X87,$X89)/B69</f>
        <v>0.99837979036471247</v>
      </c>
      <c r="C89" s="80">
        <f t="shared" ref="C89:V89" si="8">SUMIFS(C70:C87,$X70:$X87,$X89)/C69</f>
        <v>0.97826086956521752</v>
      </c>
      <c r="D89" s="80">
        <f t="shared" si="8"/>
        <v>0.31216931216931215</v>
      </c>
      <c r="E89" s="80">
        <f t="shared" si="8"/>
        <v>0.98168789808917223</v>
      </c>
      <c r="F89" s="80">
        <f t="shared" si="8"/>
        <v>0.98168789808917223</v>
      </c>
      <c r="G89" s="80">
        <f t="shared" si="8"/>
        <v>3.5427807486631005E-2</v>
      </c>
      <c r="H89" s="80">
        <f t="shared" si="8"/>
        <v>0.98672968551172524</v>
      </c>
      <c r="I89" s="80">
        <f t="shared" si="8"/>
        <v>0.99042409812939525</v>
      </c>
      <c r="J89" s="81">
        <f t="shared" si="8"/>
        <v>0.6581059390048154</v>
      </c>
      <c r="K89" s="81">
        <f t="shared" si="8"/>
        <v>0.12187288708586883</v>
      </c>
      <c r="L89" s="80">
        <f t="shared" si="8"/>
        <v>0.94003931847968514</v>
      </c>
      <c r="M89" s="81">
        <f t="shared" si="8"/>
        <v>0.94003931847968514</v>
      </c>
      <c r="N89" s="81">
        <f t="shared" si="8"/>
        <v>2.2309315646668673E-2</v>
      </c>
      <c r="O89" s="81">
        <f t="shared" si="8"/>
        <v>0.98540154977640337</v>
      </c>
      <c r="P89" s="80">
        <f t="shared" si="8"/>
        <v>0.99151771367531039</v>
      </c>
      <c r="Q89" s="81">
        <f t="shared" si="8"/>
        <v>0.679372197309417</v>
      </c>
      <c r="R89" s="81">
        <f t="shared" si="8"/>
        <v>0.13455018528739257</v>
      </c>
      <c r="S89" s="80">
        <f t="shared" si="8"/>
        <v>0.95206592386258126</v>
      </c>
      <c r="T89" s="81">
        <f t="shared" si="8"/>
        <v>0.95206592386258126</v>
      </c>
      <c r="U89" s="81">
        <f t="shared" si="8"/>
        <v>2.4067441250982792E-2</v>
      </c>
      <c r="V89" s="81">
        <f t="shared" si="8"/>
        <v>0.98546276853497017</v>
      </c>
      <c r="X89" s="4" t="s">
        <v>116</v>
      </c>
    </row>
    <row r="90" spans="1:24" x14ac:dyDescent="0.25">
      <c r="B90" s="80">
        <f>SUMIFS(B70:B87,$X70:$X87,$X90)/B69</f>
        <v>1.521013127004596E-3</v>
      </c>
      <c r="C90" s="80">
        <f t="shared" ref="C90:V90" si="9">SUMIFS(C70:C87,$X70:$X87,$X90)/C69</f>
        <v>2.1739130434782612E-2</v>
      </c>
      <c r="D90" s="80">
        <f t="shared" si="9"/>
        <v>0.68841857730746625</v>
      </c>
      <c r="E90" s="80">
        <f t="shared" si="9"/>
        <v>1.8710191082802547E-2</v>
      </c>
      <c r="F90" s="80">
        <f t="shared" si="9"/>
        <v>1.8710191082802547E-2</v>
      </c>
      <c r="G90" s="80">
        <f t="shared" si="9"/>
        <v>0.96457219251336901</v>
      </c>
      <c r="H90" s="80">
        <f t="shared" si="9"/>
        <v>1.3270314488274858E-2</v>
      </c>
      <c r="I90" s="80">
        <f t="shared" si="9"/>
        <v>3.4611693508209791E-3</v>
      </c>
      <c r="J90" s="81">
        <f t="shared" si="9"/>
        <v>2.8892455858747994E-2</v>
      </c>
      <c r="K90" s="81">
        <f t="shared" si="9"/>
        <v>0.78558147396889788</v>
      </c>
      <c r="L90" s="80">
        <f t="shared" si="9"/>
        <v>3.2273918741808648E-2</v>
      </c>
      <c r="M90" s="81">
        <f t="shared" si="9"/>
        <v>3.2273918741808648E-2</v>
      </c>
      <c r="N90" s="81">
        <f t="shared" si="9"/>
        <v>0.9670887348005226</v>
      </c>
      <c r="O90" s="81">
        <f t="shared" si="9"/>
        <v>1.2947655008438766E-2</v>
      </c>
      <c r="P90" s="80">
        <f t="shared" si="9"/>
        <v>3.1910415469083111E-3</v>
      </c>
      <c r="Q90" s="81">
        <f t="shared" si="9"/>
        <v>2.9147982062780266E-2</v>
      </c>
      <c r="R90" s="81">
        <f t="shared" si="9"/>
        <v>0.77907435149412596</v>
      </c>
      <c r="S90" s="80">
        <f t="shared" si="9"/>
        <v>2.8319405756731659E-2</v>
      </c>
      <c r="T90" s="81">
        <f t="shared" si="9"/>
        <v>2.8319405756731659E-2</v>
      </c>
      <c r="U90" s="81">
        <f t="shared" si="9"/>
        <v>0.96675984974229068</v>
      </c>
      <c r="V90" s="81">
        <f t="shared" si="9"/>
        <v>1.296813346562983E-2</v>
      </c>
      <c r="X90" s="4" t="s">
        <v>115</v>
      </c>
    </row>
    <row r="91" spans="1:24" x14ac:dyDescent="0.25">
      <c r="B91" s="80">
        <f>SUMIFS(B70:B87,$X70:$X87,$X91)/B69</f>
        <v>9.9196508282908442E-5</v>
      </c>
      <c r="C91" s="80">
        <f t="shared" ref="C91:V91" si="10">SUMIFS(C70:C87,$X70:$X87,$X91)/C69</f>
        <v>0</v>
      </c>
      <c r="D91" s="80">
        <f t="shared" si="10"/>
        <v>0</v>
      </c>
      <c r="E91" s="80">
        <f t="shared" si="10"/>
        <v>0</v>
      </c>
      <c r="F91" s="80">
        <f t="shared" si="10"/>
        <v>0</v>
      </c>
      <c r="G91" s="80">
        <f t="shared" si="10"/>
        <v>0</v>
      </c>
      <c r="H91" s="80">
        <f t="shared" si="10"/>
        <v>0</v>
      </c>
      <c r="I91" s="80">
        <f t="shared" si="10"/>
        <v>1.7463172633687667E-3</v>
      </c>
      <c r="J91" s="81">
        <f t="shared" si="10"/>
        <v>2.407704654895666E-3</v>
      </c>
      <c r="K91" s="81">
        <f t="shared" si="10"/>
        <v>5.4935767410412451E-4</v>
      </c>
      <c r="L91" s="80">
        <f t="shared" si="10"/>
        <v>1.1467889908256879E-3</v>
      </c>
      <c r="M91" s="81">
        <f t="shared" si="10"/>
        <v>1.1467889908256879E-3</v>
      </c>
      <c r="N91" s="81">
        <f t="shared" si="10"/>
        <v>6.532006833484072E-4</v>
      </c>
      <c r="O91" s="81">
        <f t="shared" si="10"/>
        <v>3.0798418193241593E-4</v>
      </c>
      <c r="P91" s="80">
        <f t="shared" si="10"/>
        <v>1.5208368223563011E-3</v>
      </c>
      <c r="Q91" s="81">
        <f t="shared" si="10"/>
        <v>2.242152466367713E-3</v>
      </c>
      <c r="R91" s="81">
        <f t="shared" si="10"/>
        <v>5.1249704328628883E-4</v>
      </c>
      <c r="S91" s="80">
        <f t="shared" si="10"/>
        <v>8.1244196843082632E-4</v>
      </c>
      <c r="T91" s="81">
        <f t="shared" si="10"/>
        <v>8.1244196843082632E-4</v>
      </c>
      <c r="U91" s="81">
        <f t="shared" si="10"/>
        <v>6.1151393378177689E-4</v>
      </c>
      <c r="V91" s="81">
        <f t="shared" si="10"/>
        <v>2.8843713224265639E-4</v>
      </c>
      <c r="X91" s="4" t="s">
        <v>114</v>
      </c>
    </row>
    <row r="92" spans="1:24" x14ac:dyDescent="0.25">
      <c r="B92" s="80">
        <f>SUMIFS(B70:B87,$X70:$X87,$X92)/B69</f>
        <v>0</v>
      </c>
      <c r="C92" s="80">
        <f t="shared" ref="C92:V92" si="11">SUMIFS(C70:C87,$X70:$X87,$X92)/C69</f>
        <v>0</v>
      </c>
      <c r="D92" s="80">
        <f t="shared" si="11"/>
        <v>0</v>
      </c>
      <c r="E92" s="80">
        <f t="shared" si="11"/>
        <v>0</v>
      </c>
      <c r="F92" s="80">
        <f t="shared" si="11"/>
        <v>0</v>
      </c>
      <c r="G92" s="80">
        <f t="shared" si="11"/>
        <v>0</v>
      </c>
      <c r="H92" s="80">
        <f t="shared" si="11"/>
        <v>0</v>
      </c>
      <c r="I92" s="80">
        <f t="shared" si="11"/>
        <v>4.3631710604288701E-3</v>
      </c>
      <c r="J92" s="81">
        <f t="shared" si="11"/>
        <v>0.3089887640449438</v>
      </c>
      <c r="K92" s="81">
        <f t="shared" si="11"/>
        <v>9.2038539553752546E-2</v>
      </c>
      <c r="L92" s="80">
        <f t="shared" si="11"/>
        <v>2.6539973787680207E-2</v>
      </c>
      <c r="M92" s="81">
        <f t="shared" si="11"/>
        <v>2.6539973787680207E-2</v>
      </c>
      <c r="N92" s="81">
        <f t="shared" si="11"/>
        <v>9.8985026630489387E-3</v>
      </c>
      <c r="O92" s="81">
        <f t="shared" si="11"/>
        <v>1.3674497677799268E-3</v>
      </c>
      <c r="P92" s="80">
        <f t="shared" si="11"/>
        <v>3.7658816553584602E-3</v>
      </c>
      <c r="Q92" s="81">
        <f t="shared" si="11"/>
        <v>0.28774289985052315</v>
      </c>
      <c r="R92" s="81">
        <f t="shared" si="11"/>
        <v>8.5862966175195149E-2</v>
      </c>
      <c r="S92" s="80">
        <f t="shared" si="11"/>
        <v>1.8802228412256265E-2</v>
      </c>
      <c r="T92" s="81">
        <f t="shared" si="11"/>
        <v>1.8802228412256265E-2</v>
      </c>
      <c r="U92" s="81">
        <f t="shared" si="11"/>
        <v>8.6048746396435744E-3</v>
      </c>
      <c r="V92" s="81">
        <f t="shared" si="11"/>
        <v>1.2806608671573944E-3</v>
      </c>
      <c r="X92" s="4" t="s">
        <v>113</v>
      </c>
    </row>
  </sheetData>
  <sheetProtection algorithmName="SHA-512" hashValue="nKkfZcDXwzlGCwb2D4xKa7aldjcWpgGQQqnmhiX45FcNNf3rwpFQNrc4rFrYYX0txsa/rwMs3Okh2AoKn+Es3w==" saltValue="rq05SLcTBD0aVX3UQuZ58Q==" spinCount="100000" sheet="1" objects="1" scenarios="1"/>
  <mergeCells count="9">
    <mergeCell ref="B67:H67"/>
    <mergeCell ref="I67:O67"/>
    <mergeCell ref="P67:V67"/>
    <mergeCell ref="B5:H5"/>
    <mergeCell ref="I5:O5"/>
    <mergeCell ref="P5:V5"/>
    <mergeCell ref="B36:H36"/>
    <mergeCell ref="I36:O36"/>
    <mergeCell ref="P36:V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EF756-BE07-4BAC-BB1C-4AF3ADE006AC}">
  <sheetPr codeName="Sheet4">
    <tabColor theme="8" tint="0.79998168889431442"/>
  </sheetPr>
  <dimension ref="A1:BA32"/>
  <sheetViews>
    <sheetView tabSelected="1" workbookViewId="0">
      <selection activeCell="C10" sqref="C10"/>
    </sheetView>
  </sheetViews>
  <sheetFormatPr defaultRowHeight="15" x14ac:dyDescent="0.25"/>
  <cols>
    <col min="2" max="2" width="25.7109375" customWidth="1"/>
    <col min="3" max="13" width="8.7109375" customWidth="1"/>
  </cols>
  <sheetData>
    <row r="1" spans="1:53" x14ac:dyDescent="0.25">
      <c r="A1" s="224">
        <v>2020</v>
      </c>
      <c r="B1" s="201"/>
      <c r="C1" s="274" t="s">
        <v>0</v>
      </c>
      <c r="D1" s="274"/>
      <c r="E1" s="274"/>
      <c r="F1" s="274"/>
      <c r="G1" s="274"/>
      <c r="H1" s="274" t="s">
        <v>262</v>
      </c>
      <c r="I1" s="274"/>
      <c r="J1" s="274"/>
      <c r="K1" s="274"/>
      <c r="L1" s="274"/>
      <c r="M1" s="202"/>
      <c r="N1" t="s">
        <v>278</v>
      </c>
      <c r="T1" t="s">
        <v>287</v>
      </c>
    </row>
    <row r="2" spans="1:53" x14ac:dyDescent="0.25">
      <c r="B2" s="203" t="s">
        <v>1</v>
      </c>
      <c r="C2" s="204" t="s">
        <v>2</v>
      </c>
      <c r="D2" s="204" t="s">
        <v>3</v>
      </c>
      <c r="E2" s="204" t="s">
        <v>4</v>
      </c>
      <c r="F2" s="204" t="s">
        <v>5</v>
      </c>
      <c r="G2" s="205" t="s">
        <v>6</v>
      </c>
      <c r="H2" s="204" t="s">
        <v>2</v>
      </c>
      <c r="I2" s="204" t="s">
        <v>3</v>
      </c>
      <c r="J2" s="204" t="s">
        <v>4</v>
      </c>
      <c r="K2" s="204" t="s">
        <v>5</v>
      </c>
      <c r="L2" s="205" t="s">
        <v>6</v>
      </c>
      <c r="M2" s="202"/>
      <c r="N2" s="230" t="s">
        <v>2</v>
      </c>
      <c r="O2" s="204" t="s">
        <v>3</v>
      </c>
      <c r="P2" s="204" t="s">
        <v>4</v>
      </c>
      <c r="Q2" s="204" t="s">
        <v>5</v>
      </c>
      <c r="R2" s="205" t="s">
        <v>6</v>
      </c>
      <c r="T2" s="230" t="s">
        <v>2</v>
      </c>
      <c r="U2" s="204" t="s">
        <v>3</v>
      </c>
      <c r="V2" s="204" t="s">
        <v>4</v>
      </c>
      <c r="W2" s="204" t="s">
        <v>5</v>
      </c>
      <c r="X2" s="205" t="s">
        <v>6</v>
      </c>
    </row>
    <row r="3" spans="1:53" x14ac:dyDescent="0.25">
      <c r="A3" s="1"/>
      <c r="B3" s="206" t="s">
        <v>7</v>
      </c>
      <c r="C3" s="207">
        <f ca="1">OFFSET(PointsNoBACT!$B$5,MATCH($A$1,PointsNoBACT!$A$6:$A$15,0),0)</f>
        <v>0.57888435044623021</v>
      </c>
      <c r="D3" s="207">
        <f ca="1">OFFSET(PointsNoBACT!$E$5,MATCH($A$1,PointsNoBACT!$A$6:$A$15,0),0)</f>
        <v>13.537956387411262</v>
      </c>
      <c r="E3" s="207">
        <f ca="1">OFFSET(PointsNoBACT!$D$5,MATCH($A$1,PointsNoBACT!$A$6:$A$15,0),0)</f>
        <v>6.6268895078480279</v>
      </c>
      <c r="F3" s="207">
        <f ca="1">OFFSET(PointsNoBACT!$F$5,MATCH($A$1,PointsNoBACT!$A$6:$A$15,0),0)</f>
        <v>3.8313242904623623E-2</v>
      </c>
      <c r="G3" s="208">
        <f ca="1">OFFSET(PointsNoBACT!$H$5,MATCH($A$1,PointsNoBACT!$A$6:$A$15,0),0)</f>
        <v>8.8391226532811992E-2</v>
      </c>
      <c r="H3" s="209">
        <f t="shared" ref="H3:H13" ca="1" si="0">C3/C$13</f>
        <v>0.17413544404912784</v>
      </c>
      <c r="I3" s="210">
        <f t="shared" ref="I3:I13" ca="1" si="1">D3/D$13</f>
        <v>0.66472029523988096</v>
      </c>
      <c r="J3" s="210">
        <f t="shared" ref="J3:J13" ca="1" si="2">E3/E$13</f>
        <v>0.33930272499801789</v>
      </c>
      <c r="K3" s="210">
        <f t="shared" ref="K3:K13" ca="1" si="3">F3/F$13</f>
        <v>2.5599742839328742E-3</v>
      </c>
      <c r="L3" s="211">
        <f t="shared" ref="L3:L13" ca="1" si="4">G3/G$13</f>
        <v>0.27585895430232921</v>
      </c>
      <c r="M3" s="202"/>
      <c r="N3" s="237">
        <v>0.5868864424193051</v>
      </c>
      <c r="O3" s="207">
        <v>10.355866759878028</v>
      </c>
      <c r="P3" s="207">
        <v>5.8668279022743048</v>
      </c>
      <c r="Q3" s="207">
        <v>3.2667369532411478E-2</v>
      </c>
      <c r="R3" s="208">
        <v>7.3144326516053029E-2</v>
      </c>
      <c r="T3" s="202">
        <f ca="1">C3/N3-1</f>
        <v>-1.3634821653211282E-2</v>
      </c>
      <c r="U3" s="202">
        <f t="shared" ref="U3:X3" ca="1" si="5">D3/O3-1</f>
        <v>0.3072740989543894</v>
      </c>
      <c r="V3" s="202">
        <f t="shared" ca="1" si="5"/>
        <v>0.12955239496271598</v>
      </c>
      <c r="W3" s="202">
        <f t="shared" ca="1" si="5"/>
        <v>0.1728291396896986</v>
      </c>
      <c r="X3" s="202">
        <f t="shared" ca="1" si="5"/>
        <v>0.20844952360608193</v>
      </c>
    </row>
    <row r="4" spans="1:53" x14ac:dyDescent="0.25">
      <c r="A4" s="1"/>
      <c r="B4" s="206" t="s">
        <v>263</v>
      </c>
      <c r="C4" s="207">
        <f ca="1">OFFSET('Emis-Rev5Pct'!$X$7,0,MATCH($A$1,'Emis-Rev5Pct'!$C$5:$L$5,0))</f>
        <v>2.1438999999999999</v>
      </c>
      <c r="D4" s="207">
        <f ca="1">OFFSET('Emis-Rev5Pct'!$X$33,0,MATCH($A$1,'Emis-Rev5Pct'!$C$5:$L$5,0))</f>
        <v>2.3227000000000002</v>
      </c>
      <c r="E4" s="207">
        <f ca="1">OFFSET('Emis-Rev5Pct'!$X$20,0,MATCH($A$1,'Emis-Rev5Pct'!$C$5:$L$5,0))</f>
        <v>3.9519000000000002</v>
      </c>
      <c r="F4" s="207">
        <f ca="1">OFFSET('Emis-Rev5Pct'!$X$46,0,MATCH($A$1,'Emis-Rev5Pct'!$C$5:$L$5,0))</f>
        <v>7.1388999999999996</v>
      </c>
      <c r="G4" s="208">
        <f ca="1">OFFSET('Emis-Rev5Pct'!$X$59,0,MATCH($A$1,'Emis-Rev5Pct'!$C$5:$L$5,0))</f>
        <v>0.11650000000000001</v>
      </c>
      <c r="H4" s="210">
        <f t="shared" ca="1" si="0"/>
        <v>0.64491116094112122</v>
      </c>
      <c r="I4" s="210">
        <f t="shared" ca="1" si="1"/>
        <v>0.1140457086410297</v>
      </c>
      <c r="J4" s="210">
        <f t="shared" ca="1" si="2"/>
        <v>0.20234084744157729</v>
      </c>
      <c r="K4" s="210">
        <f t="shared" ca="1" si="3"/>
        <v>0.4769995706461832</v>
      </c>
      <c r="L4" s="211">
        <f t="shared" ca="1" si="4"/>
        <v>0.36358323599335357</v>
      </c>
      <c r="M4" s="202"/>
      <c r="N4" s="237">
        <v>2.2092999999999998</v>
      </c>
      <c r="O4" s="207">
        <v>2.6086</v>
      </c>
      <c r="P4" s="207">
        <v>4.1586999999999996</v>
      </c>
      <c r="Q4" s="207">
        <v>9.5526999999999997</v>
      </c>
      <c r="R4" s="208">
        <v>0.14449999999999999</v>
      </c>
      <c r="T4" s="202">
        <f t="shared" ref="T4:T10" ca="1" si="6">C4/N4-1</f>
        <v>-2.9602136423301451E-2</v>
      </c>
      <c r="U4" s="202">
        <f t="shared" ref="U4:U10" ca="1" si="7">D4/O4-1</f>
        <v>-0.10959901863068311</v>
      </c>
      <c r="V4" s="202">
        <f t="shared" ref="V4:V10" ca="1" si="8">E4/P4-1</f>
        <v>-4.9727078173467554E-2</v>
      </c>
      <c r="W4" s="202">
        <f t="shared" ref="W4:W10" ca="1" si="9">F4/Q4-1</f>
        <v>-0.25268248767364199</v>
      </c>
      <c r="X4" s="202">
        <f t="shared" ref="X4:X10" ca="1" si="10">G4/R4-1</f>
        <v>-0.19377162629757771</v>
      </c>
    </row>
    <row r="5" spans="1:53" x14ac:dyDescent="0.25">
      <c r="A5" s="1"/>
      <c r="B5" s="212" t="s">
        <v>264</v>
      </c>
      <c r="C5" s="207" cm="1">
        <f t="array" aca="1" ref="C5" ca="1">C$4*INDIRECT("TabSpHt"&amp;$A$1&amp;"!T89")</f>
        <v>2.0589000000000004</v>
      </c>
      <c r="D5" s="207" cm="1">
        <f t="array" aca="1" ref="D5" ca="1">D$4*INDIRECT("TabSpHt"&amp;$A$1&amp;"!R89")</f>
        <v>0.27379999999999999</v>
      </c>
      <c r="E5" s="207" cm="1">
        <f t="array" aca="1" ref="E5" ca="1">E$4*INDIRECT("TabSpHt"&amp;$A$1&amp;"!U89")</f>
        <v>4.9199999999999994E-2</v>
      </c>
      <c r="F5" s="207" cm="1">
        <f t="array" aca="1" ref="F5" ca="1">F$4*INDIRECT("TabSpHt"&amp;$A$1&amp;"!V89")</f>
        <v>7.0208000000000004</v>
      </c>
      <c r="G5" s="208" cm="1">
        <f t="array" aca="1" ref="G5" ca="1">G$4*INDIRECT("TabSpHt"&amp;$A$1&amp;"!Q89")</f>
        <v>7.3899999999999993E-2</v>
      </c>
      <c r="H5" s="210">
        <f t="shared" ca="1" si="0"/>
        <v>0.61934212848625159</v>
      </c>
      <c r="I5" s="210">
        <f t="shared" ca="1" si="1"/>
        <v>1.3443714223065365E-2</v>
      </c>
      <c r="J5" s="210">
        <f t="shared" ca="1" si="2"/>
        <v>2.5190844136050001E-3</v>
      </c>
      <c r="K5" s="210">
        <f t="shared" ca="1" si="3"/>
        <v>0.46910848808538058</v>
      </c>
      <c r="L5" s="211">
        <f t="shared" ca="1" si="4"/>
        <v>0.23063348617947488</v>
      </c>
      <c r="M5" s="202"/>
      <c r="N5" s="237">
        <v>2.0529000000000002</v>
      </c>
      <c r="O5" s="207">
        <v>0.44769999999999999</v>
      </c>
      <c r="P5" s="207">
        <v>0.17059999999999997</v>
      </c>
      <c r="Q5" s="207">
        <v>9.3116000000000003</v>
      </c>
      <c r="R5" s="208">
        <v>9.6200000000000008E-2</v>
      </c>
      <c r="T5" s="202">
        <f t="shared" ca="1" si="6"/>
        <v>2.9226947245362123E-3</v>
      </c>
      <c r="U5" s="202">
        <f t="shared" ca="1" si="7"/>
        <v>-0.38842975206611574</v>
      </c>
      <c r="V5" s="202">
        <f t="shared" ca="1" si="8"/>
        <v>-0.71160609613130132</v>
      </c>
      <c r="W5" s="202">
        <f t="shared" ca="1" si="9"/>
        <v>-0.24601572232484215</v>
      </c>
      <c r="X5" s="202">
        <f t="shared" ca="1" si="10"/>
        <v>-0.23180873180873196</v>
      </c>
    </row>
    <row r="6" spans="1:53" x14ac:dyDescent="0.25">
      <c r="A6" s="1"/>
      <c r="B6" s="212" t="s">
        <v>265</v>
      </c>
      <c r="C6" s="207" cm="1">
        <f t="array" aca="1" ref="C6" ca="1">C$4*INDIRECT("TabSpHt"&amp;$A$1&amp;"!T90")</f>
        <v>6.6799999999999998E-2</v>
      </c>
      <c r="D6" s="207" cm="1">
        <f t="array" aca="1" ref="D6" ca="1">D$4*INDIRECT("TabSpHt"&amp;$A$1&amp;"!R90")</f>
        <v>1.8301000000000001</v>
      </c>
      <c r="E6" s="207" cm="1">
        <f t="array" aca="1" ref="E6" ca="1">E$4*INDIRECT("TabSpHt"&amp;$A$1&amp;"!U90")</f>
        <v>3.8809</v>
      </c>
      <c r="F6" s="207" cm="1">
        <f t="array" aca="1" ref="F6" ca="1">F$4*INDIRECT("TabSpHt"&amp;$A$1&amp;"!V90")</f>
        <v>0.10440000000000001</v>
      </c>
      <c r="G6" s="208" cm="1">
        <f t="array" aca="1" ref="G6" ca="1">G$4*INDIRECT("TabSpHt"&amp;$A$1&amp;"!Q90")</f>
        <v>3.5999999999999999E-3</v>
      </c>
      <c r="H6" s="210">
        <f t="shared" ca="1" si="0"/>
        <v>2.009425138806236E-2</v>
      </c>
      <c r="I6" s="210">
        <f t="shared" ca="1" si="1"/>
        <v>8.9858807157165557E-2</v>
      </c>
      <c r="J6" s="210">
        <f t="shared" ca="1" si="2"/>
        <v>0.19870558334877331</v>
      </c>
      <c r="K6" s="210">
        <f t="shared" ca="1" si="3"/>
        <v>6.9756902569669743E-3</v>
      </c>
      <c r="L6" s="211">
        <f t="shared" ca="1" si="4"/>
        <v>1.1235190125116503E-2</v>
      </c>
      <c r="M6" s="202"/>
      <c r="N6" s="237">
        <v>6.5500000000000003E-2</v>
      </c>
      <c r="O6" s="207">
        <v>1.9350000000000003</v>
      </c>
      <c r="P6" s="207">
        <v>3.8693999999999997</v>
      </c>
      <c r="Q6" s="207">
        <v>0.10869999999999999</v>
      </c>
      <c r="R6" s="208">
        <v>3.6999999999999997E-3</v>
      </c>
      <c r="T6" s="202">
        <f t="shared" ca="1" si="6"/>
        <v>1.984732824427482E-2</v>
      </c>
      <c r="U6" s="202">
        <f t="shared" ca="1" si="7"/>
        <v>-5.4211886304909696E-2</v>
      </c>
      <c r="V6" s="202">
        <f t="shared" ca="1" si="8"/>
        <v>2.9720370083217151E-3</v>
      </c>
      <c r="W6" s="202">
        <f t="shared" ca="1" si="9"/>
        <v>-3.9558417663293377E-2</v>
      </c>
      <c r="X6" s="202">
        <f t="shared" ca="1" si="10"/>
        <v>-2.7027027027026973E-2</v>
      </c>
    </row>
    <row r="7" spans="1:53" x14ac:dyDescent="0.25">
      <c r="A7" s="1"/>
      <c r="B7" s="212" t="s">
        <v>266</v>
      </c>
      <c r="C7" s="207" cm="1">
        <f t="array" aca="1" ref="C7" ca="1">C$4*INDIRECT("TabSpHt"&amp;$A$1&amp;"!T91")</f>
        <v>2E-3</v>
      </c>
      <c r="D7" s="207" cm="1">
        <f t="array" aca="1" ref="D7" ca="1">D$4*INDIRECT("TabSpHt"&amp;$A$1&amp;"!R91")</f>
        <v>1.1999999999999999E-3</v>
      </c>
      <c r="E7" s="207" cm="1">
        <f t="array" aca="1" ref="E7" ca="1">E$4*INDIRECT("TabSpHt"&amp;$A$1&amp;"!U91")</f>
        <v>2.2000000000000001E-3</v>
      </c>
      <c r="F7" s="207" cm="1">
        <f t="array" aca="1" ref="F7" ca="1">F$4*INDIRECT("TabSpHt"&amp;$A$1&amp;"!V91")</f>
        <v>2.3999999999999998E-3</v>
      </c>
      <c r="G7" s="208" cm="1">
        <f t="array" aca="1" ref="G7" ca="1">G$4*INDIRECT("TabSpHt"&amp;$A$1&amp;"!Q91")</f>
        <v>2.9999999999999997E-4</v>
      </c>
      <c r="H7" s="210">
        <f t="shared" ca="1" si="0"/>
        <v>6.0162429305575928E-4</v>
      </c>
      <c r="I7" s="210">
        <f t="shared" ca="1" si="1"/>
        <v>5.8920588267634913E-5</v>
      </c>
      <c r="J7" s="210">
        <f t="shared" ca="1" si="2"/>
        <v>1.1264198597420734E-4</v>
      </c>
      <c r="K7" s="210">
        <f t="shared" ca="1" si="3"/>
        <v>1.6036069556245915E-4</v>
      </c>
      <c r="L7" s="211">
        <f t="shared" ca="1" si="4"/>
        <v>9.3626584375970862E-4</v>
      </c>
      <c r="M7" s="202"/>
      <c r="N7" s="237">
        <v>7.8399999999999997E-2</v>
      </c>
      <c r="O7" s="207">
        <v>5.849999999999999E-2</v>
      </c>
      <c r="P7" s="207">
        <v>0.10099999999999999</v>
      </c>
      <c r="Q7" s="207">
        <v>0.1239</v>
      </c>
      <c r="R7" s="208">
        <v>1.5599999999999999E-2</v>
      </c>
      <c r="T7" s="202">
        <f t="shared" ca="1" si="6"/>
        <v>-0.97448979591836737</v>
      </c>
      <c r="U7" s="202">
        <f t="shared" ca="1" si="7"/>
        <v>-0.97948717948717945</v>
      </c>
      <c r="V7" s="202">
        <f t="shared" ca="1" si="8"/>
        <v>-0.9782178217821782</v>
      </c>
      <c r="W7" s="202">
        <f t="shared" ca="1" si="9"/>
        <v>-0.98062953995157387</v>
      </c>
      <c r="X7" s="202">
        <f t="shared" ca="1" si="10"/>
        <v>-0.98076923076923073</v>
      </c>
    </row>
    <row r="8" spans="1:53" x14ac:dyDescent="0.25">
      <c r="A8" s="1"/>
      <c r="B8" s="212" t="s">
        <v>267</v>
      </c>
      <c r="C8" s="207" cm="1">
        <f t="array" aca="1" ref="C8" ca="1">C$4*INDIRECT("TabSpHt"&amp;$A$1&amp;"!T92")</f>
        <v>1.6299999999999999E-2</v>
      </c>
      <c r="D8" s="207" cm="1">
        <f t="array" aca="1" ref="D8" ca="1">D$4*INDIRECT("TabSpHt"&amp;$A$1&amp;"!R92")</f>
        <v>0.21780000000000005</v>
      </c>
      <c r="E8" s="207" cm="1">
        <f t="array" aca="1" ref="E8" ca="1">E$4*INDIRECT("TabSpHt"&amp;$A$1&amp;"!U92")</f>
        <v>1.9799999999999998E-2</v>
      </c>
      <c r="F8" s="207" cm="1">
        <f t="array" aca="1" ref="F8" ca="1">F$4*INDIRECT("TabSpHt"&amp;$A$1&amp;"!V92")</f>
        <v>1.11E-2</v>
      </c>
      <c r="G8" s="208" cm="1">
        <f t="array" aca="1" ref="G8" ca="1">G$4*INDIRECT("TabSpHt"&amp;$A$1&amp;"!Q92")</f>
        <v>3.85E-2</v>
      </c>
      <c r="H8" s="210">
        <f t="shared" ca="1" si="0"/>
        <v>4.9032379884044377E-3</v>
      </c>
      <c r="I8" s="210">
        <f t="shared" ca="1" si="1"/>
        <v>1.0694086770575739E-2</v>
      </c>
      <c r="J8" s="210">
        <f t="shared" ca="1" si="2"/>
        <v>1.013777873767866E-3</v>
      </c>
      <c r="K8" s="210">
        <f t="shared" ca="1" si="3"/>
        <v>7.4166821697637362E-4</v>
      </c>
      <c r="L8" s="211">
        <f t="shared" ca="1" si="4"/>
        <v>0.12015411661582928</v>
      </c>
      <c r="M8" s="202"/>
      <c r="N8" s="237">
        <v>1.2499999999999999E-2</v>
      </c>
      <c r="O8" s="207">
        <v>0.16739999999999999</v>
      </c>
      <c r="P8" s="207">
        <v>1.7699999999999997E-2</v>
      </c>
      <c r="Q8" s="207">
        <v>8.3999999999999995E-3</v>
      </c>
      <c r="R8" s="208">
        <v>2.8899999999999999E-2</v>
      </c>
      <c r="T8" s="202">
        <f t="shared" ca="1" si="6"/>
        <v>0.30400000000000005</v>
      </c>
      <c r="U8" s="202">
        <f t="shared" ca="1" si="7"/>
        <v>0.3010752688172047</v>
      </c>
      <c r="V8" s="202">
        <f t="shared" ca="1" si="8"/>
        <v>0.1186440677966103</v>
      </c>
      <c r="W8" s="202">
        <f t="shared" ca="1" si="9"/>
        <v>0.32142857142857162</v>
      </c>
      <c r="X8" s="202">
        <f t="shared" ca="1" si="10"/>
        <v>0.33217993079584773</v>
      </c>
    </row>
    <row r="9" spans="1:53" x14ac:dyDescent="0.25">
      <c r="A9" s="213"/>
      <c r="B9" s="206" t="s">
        <v>8</v>
      </c>
      <c r="C9" s="207" cm="1">
        <f t="array" aca="1" ref="C9" ca="1">INDIRECT("'"&amp;$A$1&amp;"NRARSummary'!G5")</f>
        <v>0.18350417720520121</v>
      </c>
      <c r="D9" s="207" cm="1">
        <f t="array" aca="1" ref="D9" ca="1">INDIRECT("'"&amp;$A$1&amp;"NRARSummary'!H5")</f>
        <v>1.2365001822449586</v>
      </c>
      <c r="E9" s="207" cm="1">
        <f t="array" aca="1" ref="E9" ca="1">INDIRECT("'"&amp;$A$1&amp;"NRARSummary'!I5")</f>
        <v>0.67045469555427595</v>
      </c>
      <c r="F9" s="207" cm="1">
        <f t="array" aca="1" ref="F9" ca="1">INDIRECT("'"&amp;$A$1&amp;"NRARSummary'!J5")</f>
        <v>2.2985325717898895</v>
      </c>
      <c r="G9" s="208" cm="1">
        <f t="array" aca="1" ref="G9" ca="1">INDIRECT("'"&amp;$A$1&amp;"NRARSummary'!K5")</f>
        <v>5.0813496792690559E-2</v>
      </c>
      <c r="H9" s="210">
        <f t="shared" ca="1" si="0"/>
        <v>5.5200285441928981E-2</v>
      </c>
      <c r="I9" s="210">
        <f t="shared" ca="1" si="1"/>
        <v>6.0712765109092286E-2</v>
      </c>
      <c r="J9" s="210">
        <f t="shared" ca="1" si="2"/>
        <v>3.4327885642257368E-2</v>
      </c>
      <c r="K9" s="210">
        <f t="shared" ca="1" si="3"/>
        <v>0.1535809508271645</v>
      </c>
      <c r="L9" s="211">
        <f t="shared" ca="1" si="4"/>
        <v>0.15858313816329891</v>
      </c>
      <c r="M9" s="202"/>
      <c r="N9" s="237">
        <v>0.24101051978850074</v>
      </c>
      <c r="O9" s="207">
        <v>0.38390815993455096</v>
      </c>
      <c r="P9" s="207">
        <v>3.0275730675939191E-2</v>
      </c>
      <c r="Q9" s="207">
        <v>2.2546836824224923</v>
      </c>
      <c r="R9" s="208">
        <v>4.9750668661734124E-2</v>
      </c>
      <c r="T9" s="202">
        <f t="shared" ca="1" si="6"/>
        <v>-0.23860511414092767</v>
      </c>
      <c r="U9" s="202">
        <f t="shared" ca="1" si="7"/>
        <v>2.2208228719487453</v>
      </c>
      <c r="V9" s="202">
        <f t="shared" ca="1" si="8"/>
        <v>21.144955070798719</v>
      </c>
      <c r="W9" s="202">
        <f t="shared" ca="1" si="9"/>
        <v>1.9447911788799122E-2</v>
      </c>
      <c r="X9" s="202">
        <f t="shared" ca="1" si="10"/>
        <v>2.1363092387417737E-2</v>
      </c>
    </row>
    <row r="10" spans="1:53" x14ac:dyDescent="0.25">
      <c r="A10" s="2"/>
      <c r="B10" s="206" t="s">
        <v>269</v>
      </c>
      <c r="C10" s="207">
        <f ca="1">OFFSET(OnRoad!$N$6,MATCH($A$1,OnRoad!$A$7:$A$17,0),MATCH(C2,OnRoad!$C$6:$I$6,0))</f>
        <v>0.1025625208308969</v>
      </c>
      <c r="D10" s="207">
        <f ca="1">OFFSET(OnRoad!$N$6,MATCH($A$1,OnRoad!$A$7:$A$17,0),MATCH(D2,OnRoad!$C$6:$I$6,0))</f>
        <v>1.7714176537659712</v>
      </c>
      <c r="E10" s="207">
        <f ca="1">OFFSET(OnRoad!$N$6,MATCH($A$1,OnRoad!$A$7:$A$17,0),MATCH(E2,OnRoad!$C$6:$I$6,0))</f>
        <v>4.2315867801394833E-3</v>
      </c>
      <c r="F10" s="207">
        <f ca="1">OFFSET(OnRoad!$N$6,MATCH($A$1,OnRoad!$A$7:$A$17,0),MATCH(F2,OnRoad!$C$6:$I$6,0))</f>
        <v>1.8594191911790356</v>
      </c>
      <c r="G10" s="208">
        <f ca="1">OFFSET(OnRoad!$N$6,MATCH($A$1,OnRoad!$A$7:$A$17,0),MATCH(G2,OnRoad!$C$6:$I$6,0))</f>
        <v>6.2447704664889095E-2</v>
      </c>
      <c r="H10" s="210">
        <f t="shared" ca="1" si="0"/>
        <v>3.0852052044452467E-2</v>
      </c>
      <c r="I10" s="210">
        <f t="shared" ca="1" si="1"/>
        <v>8.6977475189637207E-2</v>
      </c>
      <c r="J10" s="210">
        <f t="shared" ca="1" si="2"/>
        <v>2.1666106306232404E-4</v>
      </c>
      <c r="K10" s="210">
        <f t="shared" ca="1" si="3"/>
        <v>0.12424073118318975</v>
      </c>
      <c r="L10" s="211">
        <f t="shared" ca="1" si="4"/>
        <v>0.19489217632976494</v>
      </c>
      <c r="M10" s="202"/>
      <c r="N10" s="237">
        <v>0.27231048618162906</v>
      </c>
      <c r="O10" s="207">
        <v>2.2978944962828831</v>
      </c>
      <c r="P10" s="207">
        <v>9.1099406926983054E-3</v>
      </c>
      <c r="Q10" s="207">
        <v>4.8953308993950069</v>
      </c>
      <c r="R10" s="208">
        <v>5.4768161479629651E-2</v>
      </c>
      <c r="T10" s="202">
        <f t="shared" ca="1" si="6"/>
        <v>-0.62336183865321859</v>
      </c>
      <c r="U10" s="202">
        <f t="shared" ca="1" si="7"/>
        <v>-0.22911271312436265</v>
      </c>
      <c r="V10" s="202">
        <f t="shared" ca="1" si="8"/>
        <v>-0.53549787831976381</v>
      </c>
      <c r="W10" s="202">
        <f t="shared" ca="1" si="9"/>
        <v>-0.62016475915676439</v>
      </c>
      <c r="X10" s="202">
        <f t="shared" ca="1" si="10"/>
        <v>0.14021911595691883</v>
      </c>
    </row>
    <row r="11" spans="1:53" x14ac:dyDescent="0.25">
      <c r="A11" s="2"/>
      <c r="B11" s="206" t="s">
        <v>270</v>
      </c>
      <c r="C11" s="207" cm="1">
        <f t="array" aca="1" ref="C11" ca="1">INDIRECT("'"&amp;$A$1&amp;"NRARSummary'!G8")</f>
        <v>0.19307237029142885</v>
      </c>
      <c r="D11" s="207" cm="1">
        <f t="array" aca="1" ref="D11" ca="1">INDIRECT("'"&amp;$A$1&amp;"NRARSummary'!H8")</f>
        <v>0.65308055864038062</v>
      </c>
      <c r="E11" s="207" cm="1">
        <f t="array" aca="1" ref="E11" ca="1">INDIRECT("'"&amp;$A$1&amp;"NRARSummary'!I8")</f>
        <v>8.27450154155013</v>
      </c>
      <c r="F11" s="207" cm="1">
        <f t="array" aca="1" ref="F11" ca="1">INDIRECT("'"&amp;$A$1&amp;"NRARSummary'!J8")</f>
        <v>0.30708603691207981</v>
      </c>
      <c r="G11" s="208" cm="1">
        <f t="array" aca="1" ref="G11" ca="1">INDIRECT("'"&amp;$A$1&amp;"NRARSummary'!K8")</f>
        <v>0</v>
      </c>
      <c r="H11" s="210">
        <f t="shared" ca="1" si="0"/>
        <v>5.8078514142590333E-2</v>
      </c>
      <c r="I11" s="210">
        <f t="shared" ca="1" si="1"/>
        <v>3.2066575584372391E-2</v>
      </c>
      <c r="J11" s="210">
        <f t="shared" ca="1" si="2"/>
        <v>0.42366194844856669</v>
      </c>
      <c r="K11" s="210">
        <f t="shared" ca="1" si="3"/>
        <v>2.0518554365308386E-2</v>
      </c>
      <c r="L11" s="211">
        <f t="shared" ca="1" si="4"/>
        <v>0</v>
      </c>
      <c r="M11" s="202"/>
      <c r="N11" s="238">
        <v>0.34988722347386542</v>
      </c>
      <c r="O11" s="215">
        <v>1.7548305166807676</v>
      </c>
      <c r="P11" s="215">
        <v>7.7810927248495263</v>
      </c>
      <c r="Q11" s="215">
        <v>5.2629200836384857</v>
      </c>
      <c r="R11" s="216">
        <v>3.0786286383853783E-3</v>
      </c>
      <c r="T11" s="202">
        <f ca="1">C14/N11-1</f>
        <v>-9.8330043558510605E-2</v>
      </c>
      <c r="U11" s="202">
        <f t="shared" ref="U11:X11" ca="1" si="11">D14/O11-1</f>
        <v>-0.14645819144765726</v>
      </c>
      <c r="V11" s="202">
        <f t="shared" ca="1" si="11"/>
        <v>6.3787587416959335E-2</v>
      </c>
      <c r="W11" s="202">
        <f t="shared" ca="1" si="11"/>
        <v>-0.31006061517195715</v>
      </c>
      <c r="X11" s="202">
        <f t="shared" ca="1" si="11"/>
        <v>-0.26285816528504646</v>
      </c>
    </row>
    <row r="12" spans="1:53" x14ac:dyDescent="0.25">
      <c r="A12" s="1"/>
      <c r="B12" s="214" t="s">
        <v>271</v>
      </c>
      <c r="C12" s="215" cm="1">
        <f t="array" aca="1" ref="C12" ca="1">INDIRECT("'"&amp;$A$1&amp;"NRARSummary'!G9")-INDIRECT("'"&amp;$A$1&amp;"NRARSummary'!G8")</f>
        <v>0.12241042725768506</v>
      </c>
      <c r="D12" s="215" cm="1">
        <f t="array" aca="1" ref="D12" ca="1">INDIRECT("'"&amp;$A$1&amp;"NRARSummary'!H9")-INDIRECT("'"&amp;$A$1&amp;"NRARSummary'!H8")</f>
        <v>0.84474065427016376</v>
      </c>
      <c r="E12" s="215" cm="1">
        <f t="array" aca="1" ref="E12" ca="1">INDIRECT("'"&amp;$A$1&amp;"NRARSummary'!I9")-INDIRECT("'"&amp;$A$1&amp;"NRARSummary'!I8")</f>
        <v>2.9283156852013548E-3</v>
      </c>
      <c r="F12" s="215" cm="1">
        <f t="array" aca="1" ref="F12" ca="1">INDIRECT("'"&amp;$A$1&amp;"NRARSummary'!J9")-INDIRECT("'"&amp;$A$1&amp;"NRARSummary'!J8")</f>
        <v>3.324009807992609</v>
      </c>
      <c r="G12" s="216" cm="1">
        <f t="array" aca="1" ref="G12" ca="1">INDIRECT("'"&amp;$A$1&amp;"NRARSummary'!K9")-INDIRECT("'"&amp;$A$1&amp;"NRARSummary'!K8")</f>
        <v>2.269385962905397E-3</v>
      </c>
      <c r="H12" s="217">
        <f t="shared" ca="1" si="0"/>
        <v>3.6822543380779109E-2</v>
      </c>
      <c r="I12" s="217">
        <f t="shared" ca="1" si="1"/>
        <v>4.1477180235987378E-2</v>
      </c>
      <c r="J12" s="217">
        <f t="shared" ca="1" si="2"/>
        <v>1.4993240651841016E-4</v>
      </c>
      <c r="K12" s="217">
        <f t="shared" ca="1" si="3"/>
        <v>0.22210021869422131</v>
      </c>
      <c r="L12" s="218">
        <f t="shared" ca="1" si="4"/>
        <v>7.0824952112535349E-3</v>
      </c>
      <c r="M12" s="202"/>
      <c r="N12" s="239">
        <v>3.6593946718633004</v>
      </c>
      <c r="O12" s="240">
        <v>17.40109993277623</v>
      </c>
      <c r="P12" s="240">
        <v>17.846006298492469</v>
      </c>
      <c r="Q12" s="240">
        <v>21.998302034988399</v>
      </c>
      <c r="R12" s="241">
        <v>0.32524178529580217</v>
      </c>
      <c r="T12" s="202">
        <f ca="1">C13/N12-1</f>
        <v>-9.1561817151920022E-2</v>
      </c>
      <c r="U12" s="202">
        <f ca="1">D13/O12-1</f>
        <v>0.17040850952020326</v>
      </c>
      <c r="V12" s="202">
        <f ca="1">E13/P12-1</f>
        <v>9.4413244103115579E-2</v>
      </c>
      <c r="W12" s="202">
        <f ca="1">F13/Q12-1</f>
        <v>-0.31966290730192126</v>
      </c>
      <c r="X12" s="202">
        <f ca="1">G13/R12-1</f>
        <v>-1.4819655900368045E-2</v>
      </c>
    </row>
    <row r="13" spans="1:53" x14ac:dyDescent="0.25">
      <c r="A13" s="1"/>
      <c r="B13" s="219" t="s">
        <v>10</v>
      </c>
      <c r="C13" s="220">
        <f ca="1">SUM(C3:C4,C9:C12)</f>
        <v>3.3243338460314424</v>
      </c>
      <c r="D13" s="220">
        <f ca="1">SUM(D3:D4,D9:D12)</f>
        <v>20.366395436332738</v>
      </c>
      <c r="E13" s="220">
        <f ca="1">SUM(E3:E4,E9:E12)</f>
        <v>19.530905647417775</v>
      </c>
      <c r="F13" s="220">
        <f ca="1">SUM(F3:F4,F9:F12)</f>
        <v>14.966260850778237</v>
      </c>
      <c r="G13" s="221">
        <f ca="1">SUM(G3:G4,G9:G12)</f>
        <v>0.320421813953297</v>
      </c>
      <c r="H13" s="222">
        <f t="shared" ca="1" si="0"/>
        <v>1</v>
      </c>
      <c r="I13" s="222">
        <f t="shared" ca="1" si="1"/>
        <v>1</v>
      </c>
      <c r="J13" s="222">
        <f t="shared" ca="1" si="2"/>
        <v>1</v>
      </c>
      <c r="K13" s="222">
        <f t="shared" ca="1" si="3"/>
        <v>1</v>
      </c>
      <c r="L13" s="223">
        <f t="shared" ca="1" si="4"/>
        <v>1</v>
      </c>
      <c r="M13" s="202"/>
    </row>
    <row r="14" spans="1:53" x14ac:dyDescent="0.25">
      <c r="A14" s="1"/>
      <c r="B14" s="201"/>
      <c r="C14" s="207">
        <f ca="1">SUM(C11:C12)</f>
        <v>0.3154827975491139</v>
      </c>
      <c r="D14" s="207">
        <f t="shared" ref="D14:G14" ca="1" si="12">SUM(D11:D12)</f>
        <v>1.4978212129105444</v>
      </c>
      <c r="E14" s="207">
        <f t="shared" ca="1" si="12"/>
        <v>8.2774298572353313</v>
      </c>
      <c r="F14" s="207">
        <f t="shared" ca="1" si="12"/>
        <v>3.6310958449046886</v>
      </c>
      <c r="G14" s="236">
        <f t="shared" ca="1" si="12"/>
        <v>2.269385962905397E-3</v>
      </c>
      <c r="H14" s="201"/>
      <c r="I14" s="201"/>
      <c r="J14" s="201"/>
      <c r="K14" s="201"/>
      <c r="L14" s="201"/>
      <c r="M14" s="202"/>
    </row>
    <row r="15" spans="1:53" x14ac:dyDescent="0.25">
      <c r="B15" s="201"/>
      <c r="C15" s="201"/>
      <c r="D15" s="201"/>
      <c r="E15" s="201"/>
      <c r="F15" s="201"/>
      <c r="G15" s="201"/>
      <c r="H15" s="201"/>
      <c r="I15" s="201"/>
      <c r="J15" s="201"/>
      <c r="K15" s="201"/>
      <c r="L15" s="201"/>
      <c r="M15" s="202"/>
    </row>
    <row r="16" spans="1:53" x14ac:dyDescent="0.25">
      <c r="B16" s="201"/>
      <c r="C16" s="274" t="s">
        <v>268</v>
      </c>
      <c r="D16" s="274"/>
      <c r="E16" s="274"/>
      <c r="F16" s="274"/>
      <c r="G16" s="274"/>
      <c r="H16" s="274" t="s">
        <v>262</v>
      </c>
      <c r="I16" s="274"/>
      <c r="J16" s="274"/>
      <c r="K16" s="274"/>
      <c r="L16" s="274"/>
      <c r="M16" s="202"/>
      <c r="N16" s="260" t="str">
        <f>$A$1&amp;" Baseline Emissions Breakdown, Non-Attainment Area, PM2.5"</f>
        <v>2020 Baseline Emissions Breakdown, Non-Attainment Area, PM2.5</v>
      </c>
      <c r="O16" s="260"/>
      <c r="P16" s="260"/>
      <c r="Q16" s="260"/>
      <c r="R16" s="260"/>
      <c r="S16" s="260"/>
      <c r="T16" s="260"/>
      <c r="U16" s="260"/>
      <c r="V16" s="260" t="str">
        <f>$A$1&amp;" Baseline Emissions Breakdown, Non-Attainment Area, NOx"</f>
        <v>2020 Baseline Emissions Breakdown, Non-Attainment Area, NOx</v>
      </c>
      <c r="W16" s="260"/>
      <c r="X16" s="260"/>
      <c r="Y16" s="260"/>
      <c r="Z16" s="260"/>
      <c r="AA16" s="260"/>
      <c r="AB16" s="260"/>
      <c r="AC16" s="260"/>
      <c r="AD16" s="260" t="str">
        <f>$A$1&amp;" Baseline Emissions Breakdown, Non-Attainment Area, SO2"</f>
        <v>2020 Baseline Emissions Breakdown, Non-Attainment Area, SO2</v>
      </c>
      <c r="AE16" s="260"/>
      <c r="AF16" s="260"/>
      <c r="AG16" s="260"/>
      <c r="AH16" s="260"/>
      <c r="AI16" s="260"/>
      <c r="AJ16" s="260"/>
      <c r="AK16" s="260"/>
      <c r="AL16" s="260" t="str">
        <f>$A$1&amp;" Baseline Emissions Breakdown, Non-Attainment Area, VOC"</f>
        <v>2020 Baseline Emissions Breakdown, Non-Attainment Area, VOC</v>
      </c>
      <c r="AM16" s="260"/>
      <c r="AN16" s="260"/>
      <c r="AO16" s="260"/>
      <c r="AP16" s="260"/>
      <c r="AQ16" s="260"/>
      <c r="AR16" s="260"/>
      <c r="AS16" s="260"/>
      <c r="AT16" s="260" t="str">
        <f>$A$1&amp;" Baseline Emissions Breakdown, Non-Attainment Area, NH3"</f>
        <v>2020 Baseline Emissions Breakdown, Non-Attainment Area, NH3</v>
      </c>
      <c r="AU16" s="260"/>
      <c r="AV16" s="260"/>
      <c r="AW16" s="260"/>
      <c r="AX16" s="260"/>
      <c r="AY16" s="260"/>
      <c r="AZ16" s="260"/>
      <c r="BA16" s="260"/>
    </row>
    <row r="17" spans="1:13" x14ac:dyDescent="0.25">
      <c r="B17" s="203" t="s">
        <v>1</v>
      </c>
      <c r="C17" s="204" t="s">
        <v>2</v>
      </c>
      <c r="D17" s="204" t="s">
        <v>3</v>
      </c>
      <c r="E17" s="204" t="s">
        <v>4</v>
      </c>
      <c r="F17" s="204" t="s">
        <v>5</v>
      </c>
      <c r="G17" s="205" t="s">
        <v>6</v>
      </c>
      <c r="H17" s="204" t="s">
        <v>2</v>
      </c>
      <c r="I17" s="204" t="s">
        <v>3</v>
      </c>
      <c r="J17" s="204" t="s">
        <v>4</v>
      </c>
      <c r="K17" s="204" t="s">
        <v>5</v>
      </c>
      <c r="L17" s="205" t="s">
        <v>6</v>
      </c>
      <c r="M17" s="202"/>
    </row>
    <row r="18" spans="1:13" x14ac:dyDescent="0.25">
      <c r="B18" s="206" t="s">
        <v>7</v>
      </c>
      <c r="C18" s="207">
        <f ca="1">C3</f>
        <v>0.57888435044623021</v>
      </c>
      <c r="D18" s="207">
        <f t="shared" ref="D18:G18" ca="1" si="13">D3</f>
        <v>13.537956387411262</v>
      </c>
      <c r="E18" s="207">
        <f t="shared" ca="1" si="13"/>
        <v>6.6268895078480279</v>
      </c>
      <c r="F18" s="207">
        <f t="shared" ca="1" si="13"/>
        <v>3.8313242904623623E-2</v>
      </c>
      <c r="G18" s="208">
        <f t="shared" ca="1" si="13"/>
        <v>8.8391226532811992E-2</v>
      </c>
      <c r="H18" s="209">
        <f t="shared" ref="H18:H28" ca="1" si="14">C18/C$28</f>
        <v>0.19625471106285133</v>
      </c>
      <c r="I18" s="210">
        <f t="shared" ref="I18:I28" ca="1" si="15">D18/D$28</f>
        <v>0.753739781411356</v>
      </c>
      <c r="J18" s="210">
        <f t="shared" ref="J18:J28" ca="1" si="16">E18/E$28</f>
        <v>0.42190338039689174</v>
      </c>
      <c r="K18" s="210">
        <f t="shared" ref="K18:K28" ca="1" si="17">F18/F$28</f>
        <v>2.9372529272398964E-3</v>
      </c>
      <c r="L18" s="211">
        <f t="shared" ref="L18:L28" ca="1" si="18">G18/G$28</f>
        <v>0.30981479949206103</v>
      </c>
      <c r="M18" s="202"/>
    </row>
    <row r="19" spans="1:13" x14ac:dyDescent="0.25">
      <c r="B19" s="206" t="s">
        <v>263</v>
      </c>
      <c r="C19" s="207">
        <f ca="1">OFFSET('Emis-Rev5Pct'!$B$7,0,MATCH($A$1,'Emis-Rev5Pct'!$C$5:$L$5,0))</f>
        <v>1.9742296298884363</v>
      </c>
      <c r="D19" s="207">
        <f ca="1">OFFSET('Emis-Rev5Pct'!$B$45,0,MATCH($A$1,'Emis-Rev5Pct'!$C$5:$L$5,0))</f>
        <v>2.1671999999999998</v>
      </c>
      <c r="E19" s="207">
        <f ca="1">OFFSET('Emis-Rev5Pct'!$B$25,0,MATCH($A$1,'Emis-Rev5Pct'!$C$5:$L$5,0))</f>
        <v>3.6057380189532773</v>
      </c>
      <c r="F19" s="207">
        <f ca="1">OFFSET('Emis-Rev5Pct'!$B$57,0,MATCH($A$1,'Emis-Rev5Pct'!$C$5:$L$5,0))</f>
        <v>6.6634000000000002</v>
      </c>
      <c r="G19" s="208">
        <f ca="1">OFFSET('Emis-Rev5Pct'!$B$69,0,MATCH($A$1,'Emis-Rev5Pct'!$C$5:$L$5,0))</f>
        <v>0.1089</v>
      </c>
      <c r="H19" s="210">
        <f t="shared" ca="1" si="14"/>
        <v>0.66930789420513725</v>
      </c>
      <c r="I19" s="210">
        <f t="shared" ca="1" si="15"/>
        <v>0.12066111069715528</v>
      </c>
      <c r="J19" s="210">
        <f t="shared" ca="1" si="16"/>
        <v>0.22956064941483947</v>
      </c>
      <c r="K19" s="210">
        <f t="shared" ca="1" si="17"/>
        <v>0.51084402341229063</v>
      </c>
      <c r="L19" s="211">
        <f t="shared" ca="1" si="18"/>
        <v>0.38169887428998561</v>
      </c>
      <c r="M19" s="202"/>
    </row>
    <row r="20" spans="1:13" x14ac:dyDescent="0.25">
      <c r="B20" s="212" t="s">
        <v>264</v>
      </c>
      <c r="C20" s="207" cm="1">
        <f t="array" aca="1" ref="C20" ca="1">C$19*INDIRECT("TabSpHt"&amp;$A$1&amp;"!M89")</f>
        <v>1.8921993391864547</v>
      </c>
      <c r="D20" s="207" cm="1">
        <f t="array" aca="1" ref="D20" ca="1">D$19*INDIRECT("TabSpHt"&amp;$A$1&amp;"!K89")</f>
        <v>0.23120000000000002</v>
      </c>
      <c r="E20" s="207" cm="1">
        <f t="array" aca="1" ref="E20" ca="1">E$19*INDIRECT("TabSpHt"&amp;$A$1&amp;"!N89")</f>
        <v>3.9653770545454242E-2</v>
      </c>
      <c r="F20" s="207" cm="1">
        <f t="array" aca="1" ref="F20" ca="1">F$19*INDIRECT("TabSpHt"&amp;$A$1&amp;"!O89")</f>
        <v>6.5524999999999984</v>
      </c>
      <c r="G20" s="208" cm="1">
        <f t="array" aca="1" ref="G20" ca="1">G$19*INDIRECT("TabSpHt"&amp;$A$1&amp;"!J89")</f>
        <v>6.6700000000000023E-2</v>
      </c>
      <c r="H20" s="210">
        <f t="shared" ca="1" si="14"/>
        <v>0.64149779536983542</v>
      </c>
      <c r="I20" s="210">
        <f t="shared" ca="1" si="15"/>
        <v>1.2872300107596117E-2</v>
      </c>
      <c r="J20" s="210">
        <f t="shared" ca="1" si="16"/>
        <v>2.5245720211264921E-3</v>
      </c>
      <c r="K20" s="210">
        <f t="shared" ca="1" si="17"/>
        <v>0.50234196707522183</v>
      </c>
      <c r="L20" s="211">
        <f t="shared" ca="1" si="18"/>
        <v>0.23378617920240632</v>
      </c>
      <c r="M20" s="202"/>
    </row>
    <row r="21" spans="1:13" x14ac:dyDescent="0.25">
      <c r="B21" s="212" t="s">
        <v>265</v>
      </c>
      <c r="C21" s="207" cm="1">
        <f t="array" aca="1" ref="C21" ca="1">C$19*INDIRECT("TabSpHt"&amp;$A$1&amp;"!M90")</f>
        <v>6.3484311934577056E-2</v>
      </c>
      <c r="D21" s="207" cm="1">
        <f t="array" aca="1" ref="D21" ca="1">D$19*INDIRECT("TabSpHt"&amp;$A$1&amp;"!K90")</f>
        <v>1.7170999999999998</v>
      </c>
      <c r="E21" s="207" cm="1">
        <f t="array" aca="1" ref="E21" ca="1">E$19*INDIRECT("TabSpHt"&amp;$A$1&amp;"!N90")</f>
        <v>3.5442402358492853</v>
      </c>
      <c r="F21" s="207" cm="1">
        <f t="array" aca="1" ref="F21" ca="1">F$19*INDIRECT("TabSpHt"&amp;$A$1&amp;"!O90")</f>
        <v>9.7500000000000003E-2</v>
      </c>
      <c r="G21" s="208" cm="1">
        <f t="array" aca="1" ref="G21" ca="1">G$19*INDIRECT("TabSpHt"&amp;$A$1&amp;"!J90")</f>
        <v>3.4000000000000002E-3</v>
      </c>
      <c r="H21" s="210">
        <f t="shared" ca="1" si="14"/>
        <v>2.1522598229059591E-2</v>
      </c>
      <c r="I21" s="210">
        <f t="shared" ca="1" si="15"/>
        <v>9.5601325755853325E-2</v>
      </c>
      <c r="J21" s="210">
        <f t="shared" ca="1" si="16"/>
        <v>0.22564537022574754</v>
      </c>
      <c r="K21" s="210">
        <f t="shared" ca="1" si="17"/>
        <v>7.474756473076557E-3</v>
      </c>
      <c r="L21" s="211">
        <f t="shared" ca="1" si="18"/>
        <v>1.1917136571037202E-2</v>
      </c>
      <c r="M21" s="202"/>
    </row>
    <row r="22" spans="1:13" x14ac:dyDescent="0.25">
      <c r="B22" s="212" t="s">
        <v>266</v>
      </c>
      <c r="C22" s="207" cm="1">
        <f t="array" aca="1" ref="C22" ca="1">C$19*INDIRECT("TabSpHt"&amp;$A$1&amp;"!M91")</f>
        <v>2.0380196447697288E-3</v>
      </c>
      <c r="D22" s="207" cm="1">
        <f t="array" aca="1" ref="D22" ca="1">D$19*INDIRECT("TabSpHt"&amp;$A$1&amp;"!K91")</f>
        <v>1.2000000000000001E-3</v>
      </c>
      <c r="E22" s="207" cm="1">
        <f t="array" aca="1" ref="E22" ca="1">E$19*INDIRECT("TabSpHt"&amp;$A$1&amp;"!N91")</f>
        <v>2.1647219652605296E-3</v>
      </c>
      <c r="F22" s="207" cm="1">
        <f t="array" aca="1" ref="F22" ca="1">F$19*INDIRECT("TabSpHt"&amp;$A$1&amp;"!O91")</f>
        <v>2.3E-3</v>
      </c>
      <c r="G22" s="208" cm="1">
        <f t="array" aca="1" ref="G22" ca="1">G$19*INDIRECT("TabSpHt"&amp;$A$1&amp;"!J91")</f>
        <v>2.9999999999999997E-4</v>
      </c>
      <c r="H22" s="210">
        <f t="shared" ca="1" si="14"/>
        <v>6.9093413255407994E-4</v>
      </c>
      <c r="I22" s="210">
        <f t="shared" ca="1" si="15"/>
        <v>6.6811246233197848E-5</v>
      </c>
      <c r="J22" s="210">
        <f t="shared" ca="1" si="16"/>
        <v>1.3781782745603681E-4</v>
      </c>
      <c r="K22" s="210">
        <f t="shared" ca="1" si="17"/>
        <v>1.7632758859565211E-4</v>
      </c>
      <c r="L22" s="211">
        <f t="shared" ca="1" si="18"/>
        <v>1.0515120503856352E-3</v>
      </c>
      <c r="M22" s="202"/>
    </row>
    <row r="23" spans="1:13" x14ac:dyDescent="0.25">
      <c r="B23" s="212" t="s">
        <v>267</v>
      </c>
      <c r="C23" s="207" cm="1">
        <f t="array" aca="1" ref="C23" ca="1">C$19*INDIRECT("TabSpHt"&amp;$A$1&amp;"!M92")</f>
        <v>1.6609860104873288E-2</v>
      </c>
      <c r="D23" s="207" cm="1">
        <f t="array" aca="1" ref="D23" ca="1">D$19*INDIRECT("TabSpHt"&amp;$A$1&amp;"!K92")</f>
        <v>0.21780000000000002</v>
      </c>
      <c r="E23" s="207" cm="1">
        <f t="array" aca="1" ref="E23" ca="1">E$19*INDIRECT("TabSpHt"&amp;$A$1&amp;"!N92")</f>
        <v>1.9482497687344762E-2</v>
      </c>
      <c r="F23" s="207" cm="1">
        <f t="array" aca="1" ref="F23" ca="1">F$19*INDIRECT("TabSpHt"&amp;$A$1&amp;"!O92")</f>
        <v>1.11E-2</v>
      </c>
      <c r="G23" s="208" cm="1">
        <f t="array" aca="1" ref="G23" ca="1">G$19*INDIRECT("TabSpHt"&amp;$A$1&amp;"!J92")</f>
        <v>3.85E-2</v>
      </c>
      <c r="H23" s="210">
        <f t="shared" ca="1" si="14"/>
        <v>5.6311131803157503E-3</v>
      </c>
      <c r="I23" s="210">
        <f t="shared" ca="1" si="15"/>
        <v>1.2126241191325408E-2</v>
      </c>
      <c r="J23" s="210">
        <f t="shared" ca="1" si="16"/>
        <v>1.240360447104331E-3</v>
      </c>
      <c r="K23" s="210">
        <f t="shared" ca="1" si="17"/>
        <v>8.5097227539640812E-4</v>
      </c>
      <c r="L23" s="211">
        <f t="shared" ca="1" si="18"/>
        <v>0.13494404646615654</v>
      </c>
      <c r="M23" s="202"/>
    </row>
    <row r="24" spans="1:13" x14ac:dyDescent="0.25">
      <c r="B24" s="206" t="s">
        <v>8</v>
      </c>
      <c r="C24" s="207" cm="1">
        <f t="array" aca="1" ref="C24" ca="1">INDIRECT("'"&amp;$A$1&amp;"NRARSummary'!B5")</f>
        <v>0.11409577588764884</v>
      </c>
      <c r="D24" s="207" cm="1">
        <f t="array" aca="1" ref="D24" ca="1">INDIRECT("'"&amp;$A$1&amp;"NRARSummary'!C5")</f>
        <v>0.36092707252828565</v>
      </c>
      <c r="E24" s="207" cm="1">
        <f t="array" aca="1" ref="E24" ca="1">INDIRECT("'"&amp;$A$1&amp;"NRARSummary'!D5")</f>
        <v>2.8463398234057986E-2</v>
      </c>
      <c r="F24" s="207" cm="1">
        <f t="array" aca="1" ref="F24" ca="1">INDIRECT("'"&amp;$A$1&amp;"NRARSummary'!E5")</f>
        <v>2.1197162912941954</v>
      </c>
      <c r="G24" s="208" cm="1">
        <f t="array" aca="1" ref="G24" ca="1">INDIRECT("'"&amp;$A$1&amp;"NRARSummary'!F5")</f>
        <v>4.6772548933228297E-2</v>
      </c>
      <c r="H24" s="210">
        <f t="shared" ca="1" si="14"/>
        <v>3.8681013769091749E-2</v>
      </c>
      <c r="I24" s="210">
        <f t="shared" ca="1" si="15"/>
        <v>2.0094989595762124E-2</v>
      </c>
      <c r="J24" s="210">
        <f t="shared" ca="1" si="16"/>
        <v>1.8121328140917868E-3</v>
      </c>
      <c r="K24" s="210">
        <f t="shared" ca="1" si="17"/>
        <v>0.16250628789166277</v>
      </c>
      <c r="L24" s="211">
        <f t="shared" ca="1" si="18"/>
        <v>0.16393966276847116</v>
      </c>
      <c r="M24" s="202"/>
    </row>
    <row r="25" spans="1:13" x14ac:dyDescent="0.25">
      <c r="A25" s="2"/>
      <c r="B25" s="206" t="s">
        <v>269</v>
      </c>
      <c r="C25" s="207">
        <f ca="1">OFFSET(OnRoad!$B$6,MATCH($A$1,OnRoad!$A$7:$A$17,0),MATCH(C17,OnRoad!$C$6:$I$6,0))</f>
        <v>7.3874252162777848E-2</v>
      </c>
      <c r="D25" s="207">
        <f ca="1">OFFSET(OnRoad!$B$6,MATCH($A$1,OnRoad!$A$7:$A$17,0),MATCH(D17,OnRoad!$C$6:$I$6,0))</f>
        <v>1.176115133924645</v>
      </c>
      <c r="E25" s="207">
        <f ca="1">OFFSET(OnRoad!$B$6,MATCH($A$1,OnRoad!$A$7:$A$17,0),MATCH(E17,OnRoad!$C$6:$I$6,0))</f>
        <v>2.7453689936435769E-3</v>
      </c>
      <c r="F25" s="207">
        <f ca="1">OFFSET(OnRoad!$B$6,MATCH($A$1,OnRoad!$A$7:$A$17,0),MATCH(F17,OnRoad!$C$6:$I$6,0))</f>
        <v>1.4241257024288914</v>
      </c>
      <c r="G25" s="208">
        <f ca="1">OFFSET(OnRoad!$B$6,MATCH($A$1,OnRoad!$A$7:$A$17,0),MATCH(G17,OnRoad!$C$6:$I$6,0))</f>
        <v>3.9756334910650407E-2</v>
      </c>
      <c r="H25" s="210">
        <f t="shared" ca="1" si="14"/>
        <v>2.5045019790247126E-2</v>
      </c>
      <c r="I25" s="210">
        <f t="shared" ca="1" si="15"/>
        <v>6.5481431509358257E-2</v>
      </c>
      <c r="J25" s="210">
        <f t="shared" ca="1" si="16"/>
        <v>1.747849360523245E-4</v>
      </c>
      <c r="K25" s="210">
        <f t="shared" ca="1" si="17"/>
        <v>0.10917941346364159</v>
      </c>
      <c r="L25" s="211">
        <f t="shared" ca="1" si="18"/>
        <v>0.13934755079238675</v>
      </c>
      <c r="M25" s="202"/>
    </row>
    <row r="26" spans="1:13" x14ac:dyDescent="0.25">
      <c r="A26" s="2"/>
      <c r="B26" s="206" t="s">
        <v>270</v>
      </c>
      <c r="C26" s="207" cm="1">
        <f t="array" aca="1" ref="C26" ca="1">INDIRECT("'"&amp;$A$1&amp;"NRARSummary'!B8")</f>
        <v>0.11865262133751975</v>
      </c>
      <c r="D26" s="207" cm="1">
        <f t="array" aca="1" ref="D26" ca="1">INDIRECT("'"&amp;$A$1&amp;"NRARSummary'!C8")</f>
        <v>0.43349282211779516</v>
      </c>
      <c r="E26" s="207" cm="1">
        <f t="array" aca="1" ref="E26" ca="1">INDIRECT("'"&amp;$A$1&amp;"NRARSummary'!D8")</f>
        <v>5.441017075551505</v>
      </c>
      <c r="F26" s="207" cm="1">
        <f t="array" aca="1" ref="F26" ca="1">INDIRECT("'"&amp;$A$1&amp;"NRARSummary'!E8")</f>
        <v>0.15486373885348079</v>
      </c>
      <c r="G26" s="208" cm="1">
        <f t="array" aca="1" ref="G26" ca="1">INDIRECT("'"&amp;$A$1&amp;"NRARSummary'!F8")</f>
        <v>0</v>
      </c>
      <c r="H26" s="210">
        <f t="shared" ca="1" si="14"/>
        <v>4.0225886050460409E-2</v>
      </c>
      <c r="I26" s="210">
        <f t="shared" ca="1" si="15"/>
        <v>2.4135163065696536E-2</v>
      </c>
      <c r="J26" s="210">
        <f t="shared" ca="1" si="16"/>
        <v>0.34640437180275885</v>
      </c>
      <c r="K26" s="210">
        <f t="shared" ca="1" si="17"/>
        <v>1.1872499840409159E-2</v>
      </c>
      <c r="L26" s="211">
        <f t="shared" ca="1" si="18"/>
        <v>0</v>
      </c>
      <c r="M26" s="202"/>
    </row>
    <row r="27" spans="1:13" x14ac:dyDescent="0.25">
      <c r="B27" s="214" t="s">
        <v>271</v>
      </c>
      <c r="C27" s="215" cm="1">
        <f t="array" aca="1" ref="C27" ca="1">INDIRECT("'"&amp;$A$1&amp;"NRARSummary'!B9")-INDIRECT("'"&amp;$A$1&amp;"NRARSummary'!B8")</f>
        <v>8.992173675013021E-2</v>
      </c>
      <c r="D27" s="215" cm="1">
        <f t="array" aca="1" ref="D27" ca="1">INDIRECT("'"&amp;$A$1&amp;"NRARSummary'!C9")-INDIRECT("'"&amp;$A$1&amp;"NRARSummary'!C8")</f>
        <v>0.28535657602107622</v>
      </c>
      <c r="E27" s="215" cm="1">
        <f t="array" aca="1" ref="E27" ca="1">INDIRECT("'"&amp;$A$1&amp;"NRARSummary'!D9")-INDIRECT("'"&amp;$A$1&amp;"NRARSummary'!D8")</f>
        <v>2.2725169530355416E-3</v>
      </c>
      <c r="F27" s="215" cm="1">
        <f t="array" aca="1" ref="F27" ca="1">INDIRECT("'"&amp;$A$1&amp;"NRARSummary'!E9")-INDIRECT("'"&amp;$A$1&amp;"NRARSummary'!E8")</f>
        <v>2.6434842407890335</v>
      </c>
      <c r="G27" s="216" cm="1">
        <f t="array" aca="1" ref="G27" ca="1">INDIRECT("'"&amp;$A$1&amp;"NRARSummary'!F9")-INDIRECT("'"&amp;$A$1&amp;"NRARSummary'!F8")</f>
        <v>1.483324700422227E-3</v>
      </c>
      <c r="H27" s="217">
        <f t="shared" ca="1" si="14"/>
        <v>3.0485475122212315E-2</v>
      </c>
      <c r="I27" s="217">
        <f t="shared" ca="1" si="15"/>
        <v>1.5887523720671967E-2</v>
      </c>
      <c r="J27" s="217">
        <f t="shared" ca="1" si="16"/>
        <v>1.4468063536588044E-4</v>
      </c>
      <c r="K27" s="217">
        <f t="shared" ca="1" si="17"/>
        <v>0.20266052246475585</v>
      </c>
      <c r="L27" s="218">
        <f t="shared" ca="1" si="18"/>
        <v>5.1991126570954472E-3</v>
      </c>
      <c r="M27" s="202"/>
    </row>
    <row r="28" spans="1:13" x14ac:dyDescent="0.25">
      <c r="B28" s="219" t="s">
        <v>10</v>
      </c>
      <c r="C28" s="220">
        <f ca="1">SUM(C18:C19,C24:C27)</f>
        <v>2.9496583664727427</v>
      </c>
      <c r="D28" s="220">
        <f ca="1">SUM(D18:D19,D24:D27)</f>
        <v>17.96104799200306</v>
      </c>
      <c r="E28" s="220">
        <f ca="1">SUM(E18:E19,E24:E27)</f>
        <v>15.707125886533547</v>
      </c>
      <c r="F28" s="220">
        <f ca="1">SUM(F18:F19,F24:F27)</f>
        <v>13.043903216270227</v>
      </c>
      <c r="G28" s="221">
        <f ca="1">SUM(G18:G19,G24:G27)</f>
        <v>0.28530343507711292</v>
      </c>
      <c r="H28" s="222">
        <f t="shared" ca="1" si="14"/>
        <v>1</v>
      </c>
      <c r="I28" s="222">
        <f t="shared" ca="1" si="15"/>
        <v>1</v>
      </c>
      <c r="J28" s="222">
        <f t="shared" ca="1" si="16"/>
        <v>1</v>
      </c>
      <c r="K28" s="222">
        <f t="shared" ca="1" si="17"/>
        <v>1</v>
      </c>
      <c r="L28" s="223">
        <f t="shared" ca="1" si="18"/>
        <v>1</v>
      </c>
      <c r="M28" s="202"/>
    </row>
    <row r="29" spans="1:13" x14ac:dyDescent="0.25">
      <c r="M29" s="202"/>
    </row>
    <row r="30" spans="1:13" x14ac:dyDescent="0.25">
      <c r="E30" s="213"/>
      <c r="M30" s="202"/>
    </row>
    <row r="31" spans="1:13" x14ac:dyDescent="0.25">
      <c r="M31" s="202"/>
    </row>
    <row r="32" spans="1:13" x14ac:dyDescent="0.25">
      <c r="M32" s="202"/>
    </row>
  </sheetData>
  <sheetProtection algorithmName="SHA-512" hashValue="IRwvfokqYvyJ64/9FgCzklo1rqL6wRqOdRe27qmLvpmGXi2fud2sKBmw5/v57AGcRCXxkpH/NjnaJb7S81ZbXg==" saltValue="V66AqrBMX0N7Sj6MLMUvkw==" spinCount="100000" sheet="1" objects="1" scenarios="1"/>
  <mergeCells count="9">
    <mergeCell ref="AD16:AK16"/>
    <mergeCell ref="AL16:AS16"/>
    <mergeCell ref="AT16:BA16"/>
    <mergeCell ref="C1:G1"/>
    <mergeCell ref="H1:L1"/>
    <mergeCell ref="C16:G16"/>
    <mergeCell ref="H16:L16"/>
    <mergeCell ref="N16:U16"/>
    <mergeCell ref="V16:AC1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C4958-18D4-4CA7-84BE-A1CAE3511D1D}">
  <sheetPr codeName="Sheet5">
    <tabColor theme="8" tint="0.79998168889431442"/>
  </sheetPr>
  <dimension ref="A1:BG32"/>
  <sheetViews>
    <sheetView workbookViewId="0"/>
  </sheetViews>
  <sheetFormatPr defaultRowHeight="15" x14ac:dyDescent="0.25"/>
  <cols>
    <col min="2" max="2" width="25.7109375" customWidth="1"/>
    <col min="3" max="19" width="8.7109375" customWidth="1"/>
  </cols>
  <sheetData>
    <row r="1" spans="1:59" x14ac:dyDescent="0.25">
      <c r="A1" s="224">
        <v>2026</v>
      </c>
      <c r="B1" s="201"/>
      <c r="C1" s="274" t="s">
        <v>0</v>
      </c>
      <c r="D1" s="274"/>
      <c r="E1" s="274"/>
      <c r="F1" s="274"/>
      <c r="G1" s="274"/>
      <c r="H1" s="274" t="s">
        <v>262</v>
      </c>
      <c r="I1" s="274"/>
      <c r="J1" s="274"/>
      <c r="K1" s="274"/>
      <c r="L1" s="274"/>
      <c r="N1" s="274" t="s">
        <v>275</v>
      </c>
      <c r="O1" s="274"/>
      <c r="P1" s="274"/>
      <c r="Q1" s="274"/>
      <c r="R1" s="274"/>
      <c r="S1" s="202"/>
    </row>
    <row r="2" spans="1:59" x14ac:dyDescent="0.25">
      <c r="B2" s="203" t="s">
        <v>1</v>
      </c>
      <c r="C2" s="204" t="s">
        <v>2</v>
      </c>
      <c r="D2" s="204" t="s">
        <v>3</v>
      </c>
      <c r="E2" s="204" t="s">
        <v>4</v>
      </c>
      <c r="F2" s="204" t="s">
        <v>5</v>
      </c>
      <c r="G2" s="205" t="s">
        <v>6</v>
      </c>
      <c r="H2" s="204" t="s">
        <v>2</v>
      </c>
      <c r="I2" s="204" t="s">
        <v>3</v>
      </c>
      <c r="J2" s="204" t="s">
        <v>4</v>
      </c>
      <c r="K2" s="204" t="s">
        <v>5</v>
      </c>
      <c r="L2" s="205" t="s">
        <v>6</v>
      </c>
      <c r="N2" s="230" t="s">
        <v>2</v>
      </c>
      <c r="O2" s="204" t="s">
        <v>3</v>
      </c>
      <c r="P2" s="204" t="s">
        <v>4</v>
      </c>
      <c r="Q2" s="204" t="s">
        <v>5</v>
      </c>
      <c r="R2" s="205" t="s">
        <v>6</v>
      </c>
      <c r="S2" s="202"/>
    </row>
    <row r="3" spans="1:59" x14ac:dyDescent="0.25">
      <c r="A3" s="1"/>
      <c r="B3" s="206" t="s">
        <v>7</v>
      </c>
      <c r="C3" s="207">
        <f ca="1">OFFSET(PointsNoBACT!$B$5,MATCH($A$1,PointsNoBACT!$A$6:$A$15,0),0)</f>
        <v>0.61999427935994933</v>
      </c>
      <c r="D3" s="207">
        <f ca="1">OFFSET(PointsNoBACT!$E$5,MATCH($A$1,PointsNoBACT!$A$6:$A$15,0),0)</f>
        <v>14.499365042342939</v>
      </c>
      <c r="E3" s="207">
        <f ca="1">OFFSET(PointsNoBACT!$D$5,MATCH($A$1,PointsNoBACT!$A$6:$A$15,0),0)</f>
        <v>7.0975032951730768</v>
      </c>
      <c r="F3" s="207">
        <f ca="1">OFFSET(PointsNoBACT!$F$5,MATCH($A$1,PointsNoBACT!$A$6:$A$15,0),0)</f>
        <v>4.1034088080432844E-2</v>
      </c>
      <c r="G3" s="208">
        <f ca="1">OFFSET(PointsNoBACT!$H$5,MATCH($A$1,PointsNoBACT!$A$6:$A$15,0),0)</f>
        <v>9.4668399229843964E-2</v>
      </c>
      <c r="H3" s="209">
        <f t="shared" ref="H3:H13" ca="1" si="0">C3/C$13</f>
        <v>0.25844882767180527</v>
      </c>
      <c r="I3" s="210">
        <f t="shared" ref="I3:I13" ca="1" si="1">D3/D$13</f>
        <v>0.69315939490696832</v>
      </c>
      <c r="J3" s="210">
        <f t="shared" ref="J3:J13" ca="1" si="2">E3/E$13</f>
        <v>0.37249955021758691</v>
      </c>
      <c r="K3" s="210">
        <f t="shared" ref="K3:K13" ca="1" si="3">F3/F$13</f>
        <v>2.6197935074062885E-3</v>
      </c>
      <c r="L3" s="211">
        <f t="shared" ref="L3:L13" ca="1" si="4">G3/G$13</f>
        <v>0.27426436375213897</v>
      </c>
      <c r="N3" s="231">
        <f ca="1">IFERROR(C3/SectorSum2020!C3-1,0)</f>
        <v>7.1015789046689148E-2</v>
      </c>
      <c r="O3" s="202">
        <f ca="1">IFERROR(D3/SectorSum2020!D3-1,0)</f>
        <v>7.1015789046689148E-2</v>
      </c>
      <c r="P3" s="202">
        <f ca="1">IFERROR(E3/SectorSum2020!E3-1,0)</f>
        <v>7.1015789046688482E-2</v>
      </c>
      <c r="Q3" s="202">
        <f ca="1">IFERROR(F3/SectorSum2020!F3-1,0)</f>
        <v>7.1015789046686706E-2</v>
      </c>
      <c r="R3" s="225">
        <f ca="1">IFERROR(G3/SectorSum2020!G3-1,0)</f>
        <v>7.1015789046685596E-2</v>
      </c>
      <c r="S3" s="202"/>
    </row>
    <row r="4" spans="1:59" x14ac:dyDescent="0.25">
      <c r="A4" s="1"/>
      <c r="B4" s="206" t="s">
        <v>263</v>
      </c>
      <c r="C4" s="207">
        <f ca="1">OFFSET('Emis-Rev5Pct'!$X$7,0,MATCH($A$1,'Emis-Rev5Pct'!$C$5:$L$5,0))</f>
        <v>1.1884999999999999</v>
      </c>
      <c r="D4" s="207">
        <f ca="1">OFFSET('Emis-Rev5Pct'!$X$33,0,MATCH($A$1,'Emis-Rev5Pct'!$C$5:$L$5,0))</f>
        <v>2.4899</v>
      </c>
      <c r="E4" s="207">
        <f ca="1">OFFSET('Emis-Rev5Pct'!$X$20,0,MATCH($A$1,'Emis-Rev5Pct'!$C$5:$L$5,0))</f>
        <v>2.2677</v>
      </c>
      <c r="F4" s="207">
        <f ca="1">OFFSET('Emis-Rev5Pct'!$X$46,0,MATCH($A$1,'Emis-Rev5Pct'!$C$5:$L$5,0))</f>
        <v>8.5990000000000002</v>
      </c>
      <c r="G4" s="208">
        <f ca="1">OFFSET('Emis-Rev5Pct'!$X$59,0,MATCH($A$1,'Emis-Rev5Pct'!$C$5:$L$5,0))</f>
        <v>0.13300000000000001</v>
      </c>
      <c r="H4" s="210">
        <f t="shared" ca="1" si="0"/>
        <v>0.49543429982135256</v>
      </c>
      <c r="I4" s="210">
        <f t="shared" ca="1" si="1"/>
        <v>0.11903263159032614</v>
      </c>
      <c r="J4" s="210">
        <f t="shared" ca="1" si="2"/>
        <v>0.11901610959489141</v>
      </c>
      <c r="K4" s="210">
        <f t="shared" ca="1" si="3"/>
        <v>0.54899731964383514</v>
      </c>
      <c r="L4" s="211">
        <f t="shared" ca="1" si="4"/>
        <v>0.38531506475008775</v>
      </c>
      <c r="N4" s="232">
        <f ca="1">IFERROR(C4/SectorSum2020!C4-1,0)</f>
        <v>-0.44563645692429688</v>
      </c>
      <c r="O4" s="202">
        <f ca="1">IFERROR(D4/SectorSum2020!D4-1,0)</f>
        <v>7.1985189649976133E-2</v>
      </c>
      <c r="P4" s="202">
        <f ca="1">IFERROR(E4/SectorSum2020!E4-1,0)</f>
        <v>-0.42617475138540961</v>
      </c>
      <c r="Q4" s="202">
        <f ca="1">IFERROR(F4/SectorSum2020!F4-1,0)</f>
        <v>0.20452730812870334</v>
      </c>
      <c r="R4" s="225">
        <f ca="1">IFERROR(G4/SectorSum2020!G4-1,0)</f>
        <v>0.14163090128755362</v>
      </c>
      <c r="S4" s="202"/>
    </row>
    <row r="5" spans="1:59" x14ac:dyDescent="0.25">
      <c r="A5" s="1"/>
      <c r="B5" s="212" t="s">
        <v>264</v>
      </c>
      <c r="C5" s="207" cm="1">
        <f t="array" aca="1" ref="C5" ca="1">C$4*INDIRECT("TabSpHt"&amp;$A$1&amp;"!T89")</f>
        <v>1.1416000000000002</v>
      </c>
      <c r="D5" s="207" cm="1">
        <f t="array" aca="1" ref="D5" ca="1">D$4*INDIRECT("TabSpHt"&amp;$A$1&amp;"!R89")</f>
        <v>0.33850000000000002</v>
      </c>
      <c r="E5" s="207" cm="1">
        <f t="array" aca="1" ref="E5" ca="1">E$4*INDIRECT("TabSpHt"&amp;$A$1&amp;"!U89")</f>
        <v>5.6300000000000003E-2</v>
      </c>
      <c r="F5" s="207" cm="1">
        <f t="array" aca="1" ref="F5" ca="1">F$4*INDIRECT("TabSpHt"&amp;$A$1&amp;"!V89")</f>
        <v>8.4753000000000007</v>
      </c>
      <c r="G5" s="208" cm="1">
        <f t="array" aca="1" ref="G5" ca="1">G$4*INDIRECT("TabSpHt"&amp;$A$1&amp;"!Q89")</f>
        <v>9.0399999999999994E-2</v>
      </c>
      <c r="H5" s="210">
        <f t="shared" ca="1" si="0"/>
        <v>0.47588371617674063</v>
      </c>
      <c r="I5" s="210">
        <f t="shared" ca="1" si="1"/>
        <v>1.6182395193913571E-2</v>
      </c>
      <c r="J5" s="210">
        <f t="shared" ca="1" si="2"/>
        <v>2.9548030913226558E-3</v>
      </c>
      <c r="K5" s="210">
        <f t="shared" ca="1" si="3"/>
        <v>0.5410997770877306</v>
      </c>
      <c r="L5" s="211">
        <f t="shared" ca="1" si="4"/>
        <v>0.26189835980005965</v>
      </c>
      <c r="N5" s="232">
        <f ca="1">IFERROR(C5/SectorSum2020!C5-1,0)</f>
        <v>-0.4455291660595464</v>
      </c>
      <c r="O5" s="202">
        <f ca="1">IFERROR(D5/SectorSum2020!D5-1,0)</f>
        <v>0.23630387143900666</v>
      </c>
      <c r="P5" s="202">
        <f ca="1">IFERROR(E5/SectorSum2020!E5-1,0)</f>
        <v>0.1443089430894311</v>
      </c>
      <c r="Q5" s="202">
        <f ca="1">IFERROR(F5/SectorSum2020!F5-1,0)</f>
        <v>0.20717012306289884</v>
      </c>
      <c r="R5" s="225">
        <f ca="1">IFERROR(G5/SectorSum2020!G5-1,0)</f>
        <v>0.22327469553450618</v>
      </c>
      <c r="S5" s="202"/>
    </row>
    <row r="6" spans="1:59" x14ac:dyDescent="0.25">
      <c r="A6" s="1"/>
      <c r="B6" s="212" t="s">
        <v>265</v>
      </c>
      <c r="C6" s="207" cm="1">
        <f t="array" aca="1" ref="C6" ca="1">C$4*INDIRECT("TabSpHt"&amp;$A$1&amp;"!T90")</f>
        <v>3.0000000000000002E-2</v>
      </c>
      <c r="D6" s="207" cm="1">
        <f t="array" aca="1" ref="D6" ca="1">D$4*INDIRECT("TabSpHt"&amp;$A$1&amp;"!R90")</f>
        <v>1.9320999999999999</v>
      </c>
      <c r="E6" s="207" cm="1">
        <f t="array" aca="1" ref="E6" ca="1">E$4*INDIRECT("TabSpHt"&amp;$A$1&amp;"!U90")</f>
        <v>2.1903999999999999</v>
      </c>
      <c r="F6" s="207" cm="1">
        <f t="array" aca="1" ref="F6" ca="1">F$4*INDIRECT("TabSpHt"&amp;$A$1&amp;"!V90")</f>
        <v>0.10979999999999999</v>
      </c>
      <c r="G6" s="208" cm="1">
        <f t="array" aca="1" ref="G6" ca="1">G$4*INDIRECT("TabSpHt"&amp;$A$1&amp;"!Q90")</f>
        <v>3.7000000000000002E-3</v>
      </c>
      <c r="H6" s="210">
        <f t="shared" ca="1" si="0"/>
        <v>1.250570382384567E-2</v>
      </c>
      <c r="I6" s="210">
        <f t="shared" ca="1" si="1"/>
        <v>9.2366339007859399E-2</v>
      </c>
      <c r="J6" s="210">
        <f t="shared" ca="1" si="2"/>
        <v>0.1149591597021873</v>
      </c>
      <c r="K6" s="210">
        <f t="shared" ca="1" si="3"/>
        <v>7.0101064887653315E-3</v>
      </c>
      <c r="L6" s="211">
        <f t="shared" ca="1" si="4"/>
        <v>1.0719291275002442E-2</v>
      </c>
      <c r="N6" s="232">
        <f ca="1">IFERROR(C6/SectorSum2020!C6-1,0)</f>
        <v>-0.55089820359281427</v>
      </c>
      <c r="O6" s="202">
        <f ca="1">IFERROR(D6/SectorSum2020!D6-1,0)</f>
        <v>5.5734659308234402E-2</v>
      </c>
      <c r="P6" s="202">
        <f ca="1">IFERROR(E6/SectorSum2020!E6-1,0)</f>
        <v>-0.4355948362493236</v>
      </c>
      <c r="Q6" s="202">
        <f ca="1">IFERROR(F6/SectorSum2020!F6-1,0)</f>
        <v>5.1724137931034475E-2</v>
      </c>
      <c r="R6" s="225">
        <f ca="1">IFERROR(G6/SectorSum2020!G6-1,0)</f>
        <v>2.7777777777777901E-2</v>
      </c>
      <c r="S6" s="202"/>
    </row>
    <row r="7" spans="1:59" x14ac:dyDescent="0.25">
      <c r="A7" s="1"/>
      <c r="B7" s="212" t="s">
        <v>266</v>
      </c>
      <c r="C7" s="207" cm="1">
        <f t="array" aca="1" ref="C7" ca="1">C$4*INDIRECT("TabSpHt"&amp;$A$1&amp;"!T91")</f>
        <v>8.9999999999999998E-4</v>
      </c>
      <c r="D7" s="207" cm="1">
        <f t="array" aca="1" ref="D7" ca="1">D$4*INDIRECT("TabSpHt"&amp;$A$1&amp;"!R91")</f>
        <v>1.2000000000000001E-3</v>
      </c>
      <c r="E7" s="207" cm="1">
        <f t="array" aca="1" ref="E7" ca="1">E$4*INDIRECT("TabSpHt"&amp;$A$1&amp;"!U91")</f>
        <v>1.4E-3</v>
      </c>
      <c r="F7" s="207" cm="1">
        <f t="array" aca="1" ref="F7" ca="1">F$4*INDIRECT("TabSpHt"&amp;$A$1&amp;"!V91")</f>
        <v>2.5000000000000005E-3</v>
      </c>
      <c r="G7" s="208" cm="1">
        <f t="array" aca="1" ref="G7" ca="1">G$4*INDIRECT("TabSpHt"&amp;$A$1&amp;"!Q91")</f>
        <v>2.9999999999999997E-4</v>
      </c>
      <c r="H7" s="210">
        <f t="shared" ca="1" si="0"/>
        <v>3.7517111471537006E-4</v>
      </c>
      <c r="I7" s="210">
        <f t="shared" ca="1" si="1"/>
        <v>5.736742757074235E-5</v>
      </c>
      <c r="J7" s="210">
        <f t="shared" ca="1" si="2"/>
        <v>7.3476453425430163E-5</v>
      </c>
      <c r="K7" s="210">
        <f t="shared" ca="1" si="3"/>
        <v>1.5961080347826352E-4</v>
      </c>
      <c r="L7" s="211">
        <f t="shared" ca="1" si="4"/>
        <v>8.6913172500019788E-4</v>
      </c>
      <c r="N7" s="232">
        <f ca="1">IFERROR(C7/SectorSum2020!C7-1,0)</f>
        <v>-0.55000000000000004</v>
      </c>
      <c r="O7" s="202">
        <f ca="1">IFERROR(D7/SectorSum2020!D7-1,0)</f>
        <v>2.2204460492503131E-16</v>
      </c>
      <c r="P7" s="202">
        <f ca="1">IFERROR(E7/SectorSum2020!E7-1,0)</f>
        <v>-0.36363636363636365</v>
      </c>
      <c r="Q7" s="202">
        <f ca="1">IFERROR(F7/SectorSum2020!F7-1,0)</f>
        <v>4.1666666666666963E-2</v>
      </c>
      <c r="R7" s="225">
        <f ca="1">IFERROR(G7/SectorSum2020!G7-1,0)</f>
        <v>0</v>
      </c>
      <c r="S7" s="202"/>
    </row>
    <row r="8" spans="1:59" x14ac:dyDescent="0.25">
      <c r="A8" s="1"/>
      <c r="B8" s="212" t="s">
        <v>267</v>
      </c>
      <c r="C8" s="207" cm="1">
        <f t="array" aca="1" ref="C8" ca="1">C$4*INDIRECT("TabSpHt"&amp;$A$1&amp;"!T92")</f>
        <v>1.6199999999999999E-2</v>
      </c>
      <c r="D8" s="207" cm="1">
        <f t="array" aca="1" ref="D8" ca="1">D$4*INDIRECT("TabSpHt"&amp;$A$1&amp;"!R92")</f>
        <v>0.21780000000000002</v>
      </c>
      <c r="E8" s="207" cm="1">
        <f t="array" aca="1" ref="E8" ca="1">E$4*INDIRECT("TabSpHt"&amp;$A$1&amp;"!U92")</f>
        <v>1.9699999999999999E-2</v>
      </c>
      <c r="F8" s="207" cm="1">
        <f t="array" aca="1" ref="F8" ca="1">F$4*INDIRECT("TabSpHt"&amp;$A$1&amp;"!V92")</f>
        <v>1.1100000000000002E-2</v>
      </c>
      <c r="G8" s="208" cm="1">
        <f t="array" aca="1" ref="G8" ca="1">G$4*INDIRECT("TabSpHt"&amp;$A$1&amp;"!Q92")</f>
        <v>3.85E-2</v>
      </c>
      <c r="H8" s="210">
        <f t="shared" ca="1" si="0"/>
        <v>6.7530800648766612E-3</v>
      </c>
      <c r="I8" s="210">
        <f t="shared" ca="1" si="1"/>
        <v>1.0412188104089736E-2</v>
      </c>
      <c r="J8" s="210">
        <f t="shared" ca="1" si="2"/>
        <v>1.0339186660578386E-3</v>
      </c>
      <c r="K8" s="210">
        <f t="shared" ca="1" si="3"/>
        <v>7.0867196744349003E-4</v>
      </c>
      <c r="L8" s="211">
        <f t="shared" ca="1" si="4"/>
        <v>0.1115385713750254</v>
      </c>
      <c r="N8" s="232">
        <f ca="1">IFERROR(C8/SectorSum2020!C8-1,0)</f>
        <v>-6.1349693251533388E-3</v>
      </c>
      <c r="O8" s="202">
        <f ca="1">IFERROR(D8/SectorSum2020!D8-1,0)</f>
        <v>-1.1102230246251565E-16</v>
      </c>
      <c r="P8" s="202">
        <f ca="1">IFERROR(E8/SectorSum2020!E8-1,0)</f>
        <v>-5.050505050504972E-3</v>
      </c>
      <c r="Q8" s="202">
        <f ca="1">IFERROR(F8/SectorSum2020!F8-1,0)</f>
        <v>2.2204460492503131E-16</v>
      </c>
      <c r="R8" s="225">
        <f ca="1">IFERROR(G8/SectorSum2020!G8-1,0)</f>
        <v>0</v>
      </c>
      <c r="S8" s="202"/>
    </row>
    <row r="9" spans="1:59" x14ac:dyDescent="0.25">
      <c r="A9" s="213"/>
      <c r="B9" s="206" t="s">
        <v>8</v>
      </c>
      <c r="C9" s="207" cm="1">
        <f t="array" aca="1" ref="C9" ca="1">INDIRECT("'"&amp;$A$1&amp;"NRARSummary'!G5")</f>
        <v>0.19949536441485921</v>
      </c>
      <c r="D9" s="207" cm="1">
        <f t="array" aca="1" ref="D9" ca="1">INDIRECT("'"&amp;$A$1&amp;"NRARSummary'!H5")</f>
        <v>1.3442530748504726</v>
      </c>
      <c r="E9" s="207" cm="1">
        <f t="array" aca="1" ref="E9" ca="1">INDIRECT("'"&amp;$A$1&amp;"NRARSummary'!I5")</f>
        <v>0.72888043122684099</v>
      </c>
      <c r="F9" s="207" cm="1">
        <f t="array" aca="1" ref="F9" ca="1">INDIRECT("'"&amp;$A$1&amp;"NRARSummary'!J5")</f>
        <v>2.4988346315184078</v>
      </c>
      <c r="G9" s="208" cm="1">
        <f t="array" aca="1" ref="G9" ca="1">INDIRECT("'"&amp;$A$1&amp;"NRARSummary'!K5")</f>
        <v>5.5241560242606617E-2</v>
      </c>
      <c r="H9" s="210">
        <f t="shared" ca="1" si="0"/>
        <v>8.316099805341301E-2</v>
      </c>
      <c r="I9" s="210">
        <f t="shared" ca="1" si="1"/>
        <v>6.4263617423526806E-2</v>
      </c>
      <c r="J9" s="210">
        <f t="shared" ca="1" si="2"/>
        <v>3.8253963612676023E-2</v>
      </c>
      <c r="K9" s="210">
        <f t="shared" ca="1" si="3"/>
        <v>0.15953640131838542</v>
      </c>
      <c r="L9" s="211">
        <f t="shared" ca="1" si="4"/>
        <v>0.16004064181786348</v>
      </c>
      <c r="N9" s="232">
        <f ca="1">IFERROR(C9/SectorSum2020!C9-1,0)</f>
        <v>8.7143450646227416E-2</v>
      </c>
      <c r="O9" s="202">
        <f ca="1">IFERROR(D9/SectorSum2020!D9-1,0)</f>
        <v>8.714345064622675E-2</v>
      </c>
      <c r="P9" s="202">
        <f ca="1">IFERROR(E9/SectorSum2020!E9-1,0)</f>
        <v>8.714345064622675E-2</v>
      </c>
      <c r="Q9" s="202">
        <f ca="1">IFERROR(F9/SectorSum2020!F9-1,0)</f>
        <v>8.7143450646227416E-2</v>
      </c>
      <c r="R9" s="225">
        <f ca="1">IFERROR(G9/SectorSum2020!G9-1,0)</f>
        <v>8.7143450646227194E-2</v>
      </c>
      <c r="S9" s="202"/>
    </row>
    <row r="10" spans="1:59" x14ac:dyDescent="0.25">
      <c r="A10" s="2"/>
      <c r="B10" s="206" t="s">
        <v>269</v>
      </c>
      <c r="C10" s="207">
        <f ca="1">OFFSET(OnRoad!$N$6,MATCH($A$1,OnRoad!$A$7:$A$17,0),MATCH(C2,OnRoad!$C$6:$I$6,0))</f>
        <v>7.3729328880400166E-2</v>
      </c>
      <c r="D10" s="207">
        <f ca="1">OFFSET(OnRoad!$N$6,MATCH($A$1,OnRoad!$A$7:$A$17,0),MATCH(D2,OnRoad!$C$6:$I$6,0))</f>
        <v>1.0042398159618726</v>
      </c>
      <c r="E10" s="207">
        <f ca="1">OFFSET(OnRoad!$N$6,MATCH($A$1,OnRoad!$A$7:$A$17,0),MATCH(E2,OnRoad!$C$6:$I$6,0))</f>
        <v>3.9043676903227232E-3</v>
      </c>
      <c r="F10" s="207">
        <f ca="1">OFFSET(OnRoad!$N$6,MATCH($A$1,OnRoad!$A$7:$A$17,0),MATCH(F2,OnRoad!$C$6:$I$6,0))</f>
        <v>1.4356581212743627</v>
      </c>
      <c r="G10" s="208">
        <f ca="1">OFFSET(OnRoad!$N$6,MATCH($A$1,OnRoad!$A$7:$A$17,0),MATCH(G2,OnRoad!$C$6:$I$6,0))</f>
        <v>5.9982461763952895E-2</v>
      </c>
      <c r="H10" s="210">
        <f t="shared" ca="1" si="0"/>
        <v>3.073457167030651E-2</v>
      </c>
      <c r="I10" s="210">
        <f t="shared" ca="1" si="1"/>
        <v>4.8008879088206953E-2</v>
      </c>
      <c r="J10" s="210">
        <f t="shared" ca="1" si="2"/>
        <v>2.0491363625267992E-4</v>
      </c>
      <c r="K10" s="210">
        <f t="shared" ca="1" si="3"/>
        <v>9.1658618502678105E-2</v>
      </c>
      <c r="L10" s="211">
        <f t="shared" ca="1" si="4"/>
        <v>0.17377553487554265</v>
      </c>
      <c r="N10" s="232">
        <f ca="1">IFERROR(C10/SectorSum2020!C10-1,0)</f>
        <v>-0.28112795704423399</v>
      </c>
      <c r="O10" s="202">
        <f ca="1">IFERROR(D10/SectorSum2020!D10-1,0)</f>
        <v>-0.4330869324764296</v>
      </c>
      <c r="P10" s="202">
        <f ca="1">IFERROR(E10/SectorSum2020!E10-1,0)</f>
        <v>-7.7327751223850383E-2</v>
      </c>
      <c r="Q10" s="202">
        <f ca="1">IFERROR(F10/SectorSum2020!F10-1,0)</f>
        <v>-0.22789969680584565</v>
      </c>
      <c r="R10" s="225">
        <f ca="1">IFERROR(G10/SectorSum2020!G10-1,0)</f>
        <v>-3.9476917753268004E-2</v>
      </c>
      <c r="S10" s="202"/>
    </row>
    <row r="11" spans="1:59" x14ac:dyDescent="0.25">
      <c r="A11" s="2"/>
      <c r="B11" s="206" t="s">
        <v>270</v>
      </c>
      <c r="C11" s="207" cm="1">
        <f t="array" aca="1" ref="C11" ca="1">INDIRECT("'"&amp;$A$1&amp;"NRARSummary'!G8")</f>
        <v>0.21224115886128522</v>
      </c>
      <c r="D11" s="207" cm="1">
        <f t="array" aca="1" ref="D11" ca="1">INDIRECT("'"&amp;$A$1&amp;"NRARSummary'!H8")</f>
        <v>0.69988984627063144</v>
      </c>
      <c r="E11" s="207" cm="1">
        <f t="array" aca="1" ref="E11" ca="1">INDIRECT("'"&amp;$A$1&amp;"NRARSummary'!I8")</f>
        <v>8.9528067182853448</v>
      </c>
      <c r="F11" s="207" cm="1">
        <f t="array" aca="1" ref="F11" ca="1">INDIRECT("'"&amp;$A$1&amp;"NRARSummary'!J8")</f>
        <v>0.33079968499409174</v>
      </c>
      <c r="G11" s="208" cm="1">
        <f t="array" aca="1" ref="G11" ca="1">INDIRECT("'"&amp;$A$1&amp;"NRARSummary'!K8")</f>
        <v>0</v>
      </c>
      <c r="H11" s="210">
        <f t="shared" ca="1" si="0"/>
        <v>8.8474169064967023E-2</v>
      </c>
      <c r="I11" s="210">
        <f t="shared" ca="1" si="1"/>
        <v>3.34590667195237E-2</v>
      </c>
      <c r="J11" s="210">
        <f t="shared" ca="1" si="2"/>
        <v>0.46987177561640814</v>
      </c>
      <c r="K11" s="210">
        <f t="shared" ca="1" si="3"/>
        <v>2.1119681404905378E-2</v>
      </c>
      <c r="L11" s="211">
        <f t="shared" ca="1" si="4"/>
        <v>0</v>
      </c>
      <c r="N11" s="232">
        <f ca="1">IFERROR(C11/SectorSum2020!C11-1,0)</f>
        <v>9.9282919357764454E-2</v>
      </c>
      <c r="O11" s="202">
        <f ca="1">IFERROR(D11/SectorSum2020!D11-1,0)</f>
        <v>7.1674599727330701E-2</v>
      </c>
      <c r="P11" s="202">
        <f ca="1">IFERROR(E11/SectorSum2020!E11-1,0)</f>
        <v>8.1975352029258541E-2</v>
      </c>
      <c r="Q11" s="202">
        <f ca="1">IFERROR(F11/SectorSum2020!F11-1,0)</f>
        <v>7.7221511992097813E-2</v>
      </c>
      <c r="R11" s="225">
        <f ca="1">IFERROR(G11/SectorSum2020!G11-1,0)</f>
        <v>0</v>
      </c>
      <c r="S11" s="202"/>
    </row>
    <row r="12" spans="1:59" x14ac:dyDescent="0.25">
      <c r="A12" s="1"/>
      <c r="B12" s="214" t="s">
        <v>271</v>
      </c>
      <c r="C12" s="215" cm="1">
        <f t="array" aca="1" ref="C12" ca="1">INDIRECT("'"&amp;$A$1&amp;"NRARSummary'!G9")-INDIRECT("'"&amp;$A$1&amp;"NRARSummary'!G8")</f>
        <v>0.10494523379341361</v>
      </c>
      <c r="D12" s="215" cm="1">
        <f t="array" aca="1" ref="D12" ca="1">INDIRECT("'"&amp;$A$1&amp;"NRARSummary'!H9")-INDIRECT("'"&amp;$A$1&amp;"NRARSummary'!H8")</f>
        <v>0.88014565867493089</v>
      </c>
      <c r="E12" s="215" cm="1">
        <f t="array" aca="1" ref="E12" ca="1">INDIRECT("'"&amp;$A$1&amp;"NRARSummary'!I9")-INDIRECT("'"&amp;$A$1&amp;"NRARSummary'!I8")</f>
        <v>2.9283156852013548E-3</v>
      </c>
      <c r="F12" s="215" cm="1">
        <f t="array" aca="1" ref="F12" ca="1">INDIRECT("'"&amp;$A$1&amp;"NRARSummary'!J9")-INDIRECT("'"&amp;$A$1&amp;"NRARSummary'!J8")</f>
        <v>2.7577736247466387</v>
      </c>
      <c r="G12" s="216" cm="1">
        <f t="array" aca="1" ref="G12" ca="1">INDIRECT("'"&amp;$A$1&amp;"NRARSummary'!K9")-INDIRECT("'"&amp;$A$1&amp;"NRARSummary'!K8")</f>
        <v>2.2796526513972461E-3</v>
      </c>
      <c r="H12" s="217">
        <f t="shared" ca="1" si="0"/>
        <v>4.3747133718155681E-2</v>
      </c>
      <c r="I12" s="217">
        <f t="shared" ca="1" si="1"/>
        <v>4.2076410271447838E-2</v>
      </c>
      <c r="J12" s="217">
        <f t="shared" ca="1" si="2"/>
        <v>1.5368732218475282E-4</v>
      </c>
      <c r="K12" s="217">
        <f t="shared" ca="1" si="3"/>
        <v>0.17606818562278964</v>
      </c>
      <c r="L12" s="218">
        <f t="shared" ca="1" si="4"/>
        <v>6.6043948043672113E-3</v>
      </c>
      <c r="N12" s="233">
        <f ca="1">IFERROR(C12/SectorSum2020!C12-1,0)</f>
        <v>-0.14267733440310304</v>
      </c>
      <c r="O12" s="226">
        <f ca="1">IFERROR(D12/SectorSum2020!D12-1,0)</f>
        <v>4.1912277130021991E-2</v>
      </c>
      <c r="P12" s="226">
        <f ca="1">IFERROR(E12/SectorSum2020!E12-1,0)</f>
        <v>0</v>
      </c>
      <c r="Q12" s="226">
        <f ca="1">IFERROR(F12/SectorSum2020!F12-1,0)</f>
        <v>-0.17034732625771765</v>
      </c>
      <c r="R12" s="227">
        <f ca="1">IFERROR(G12/SectorSum2020!G12-1,0)</f>
        <v>4.5239940052792527E-3</v>
      </c>
      <c r="S12" s="202"/>
    </row>
    <row r="13" spans="1:59" x14ac:dyDescent="0.25">
      <c r="A13" s="1"/>
      <c r="B13" s="219" t="s">
        <v>10</v>
      </c>
      <c r="C13" s="220">
        <f ca="1">SUM(C3:C4,C9:C12)</f>
        <v>2.3989053653099073</v>
      </c>
      <c r="D13" s="220">
        <f ca="1">SUM(D3:D4,D9:D12)</f>
        <v>20.917793438100851</v>
      </c>
      <c r="E13" s="220">
        <f ca="1">SUM(E3:E4,E9:E12)</f>
        <v>19.053723128060788</v>
      </c>
      <c r="F13" s="220">
        <f ca="1">SUM(F3:F4,F9:F12)</f>
        <v>15.663100150613936</v>
      </c>
      <c r="G13" s="221">
        <f ca="1">SUM(G3:G4,G9:G12)</f>
        <v>0.34517207388780069</v>
      </c>
      <c r="H13" s="222">
        <f t="shared" ca="1" si="0"/>
        <v>1</v>
      </c>
      <c r="I13" s="222">
        <f t="shared" ca="1" si="1"/>
        <v>1</v>
      </c>
      <c r="J13" s="222">
        <f t="shared" ca="1" si="2"/>
        <v>1</v>
      </c>
      <c r="K13" s="222">
        <f t="shared" ca="1" si="3"/>
        <v>1</v>
      </c>
      <c r="L13" s="223">
        <f t="shared" ca="1" si="4"/>
        <v>1</v>
      </c>
      <c r="N13" s="234">
        <f ca="1">IFERROR(C13/SectorSum2020!C13-1,0)</f>
        <v>-0.27838012774387955</v>
      </c>
      <c r="O13" s="228">
        <f ca="1">IFERROR(D13/SectorSum2020!D13-1,0)</f>
        <v>2.7073912194813143E-2</v>
      </c>
      <c r="P13" s="228">
        <f ca="1">IFERROR(E13/SectorSum2020!E13-1,0)</f>
        <v>-2.4432175751157525E-2</v>
      </c>
      <c r="Q13" s="228">
        <f ca="1">IFERROR(F13/SectorSum2020!F13-1,0)</f>
        <v>4.6560681173712259E-2</v>
      </c>
      <c r="R13" s="229">
        <f ca="1">IFERROR(G13/SectorSum2020!G13-1,0)</f>
        <v>7.7242743336167319E-2</v>
      </c>
      <c r="S13" s="202"/>
    </row>
    <row r="14" spans="1:59" x14ac:dyDescent="0.25">
      <c r="A14" s="1"/>
      <c r="B14" s="201"/>
      <c r="C14" s="201"/>
      <c r="D14" s="201"/>
      <c r="E14" s="201"/>
      <c r="F14" s="201"/>
      <c r="G14" s="201"/>
      <c r="H14" s="201"/>
      <c r="I14" s="201"/>
      <c r="J14" s="201"/>
      <c r="K14" s="201"/>
      <c r="L14" s="201"/>
      <c r="N14" s="201"/>
      <c r="O14" s="201"/>
      <c r="P14" s="201"/>
      <c r="Q14" s="201"/>
      <c r="R14" s="201"/>
      <c r="S14" s="202"/>
    </row>
    <row r="15" spans="1:59" x14ac:dyDescent="0.25">
      <c r="B15" s="201"/>
      <c r="C15" s="201"/>
      <c r="D15" s="201"/>
      <c r="E15" s="201"/>
      <c r="F15" s="201"/>
      <c r="G15" s="201"/>
      <c r="H15" s="201"/>
      <c r="I15" s="201"/>
      <c r="J15" s="201"/>
      <c r="K15" s="201"/>
      <c r="L15" s="201"/>
      <c r="N15" s="201"/>
      <c r="O15" s="201"/>
      <c r="P15" s="201"/>
      <c r="Q15" s="201"/>
      <c r="R15" s="201"/>
      <c r="S15" s="202"/>
    </row>
    <row r="16" spans="1:59" x14ac:dyDescent="0.25">
      <c r="B16" s="201"/>
      <c r="C16" s="274" t="s">
        <v>268</v>
      </c>
      <c r="D16" s="274"/>
      <c r="E16" s="274"/>
      <c r="F16" s="274"/>
      <c r="G16" s="274"/>
      <c r="H16" s="274" t="s">
        <v>262</v>
      </c>
      <c r="I16" s="274"/>
      <c r="J16" s="274"/>
      <c r="K16" s="274"/>
      <c r="L16" s="274"/>
      <c r="N16" s="274" t="s">
        <v>276</v>
      </c>
      <c r="O16" s="274"/>
      <c r="P16" s="274"/>
      <c r="Q16" s="274"/>
      <c r="R16" s="274"/>
      <c r="S16" s="202"/>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c r="BE16" s="260"/>
      <c r="BF16" s="260"/>
      <c r="BG16" s="260"/>
    </row>
    <row r="17" spans="1:19" x14ac:dyDescent="0.25">
      <c r="B17" s="203" t="s">
        <v>1</v>
      </c>
      <c r="C17" s="204" t="s">
        <v>2</v>
      </c>
      <c r="D17" s="204" t="s">
        <v>3</v>
      </c>
      <c r="E17" s="204" t="s">
        <v>4</v>
      </c>
      <c r="F17" s="204" t="s">
        <v>5</v>
      </c>
      <c r="G17" s="205" t="s">
        <v>6</v>
      </c>
      <c r="H17" s="204" t="s">
        <v>2</v>
      </c>
      <c r="I17" s="204" t="s">
        <v>3</v>
      </c>
      <c r="J17" s="204" t="s">
        <v>4</v>
      </c>
      <c r="K17" s="204" t="s">
        <v>5</v>
      </c>
      <c r="L17" s="205" t="s">
        <v>6</v>
      </c>
      <c r="N17" s="230" t="s">
        <v>2</v>
      </c>
      <c r="O17" s="204" t="s">
        <v>3</v>
      </c>
      <c r="P17" s="204" t="s">
        <v>4</v>
      </c>
      <c r="Q17" s="204" t="s">
        <v>5</v>
      </c>
      <c r="R17" s="205" t="s">
        <v>6</v>
      </c>
      <c r="S17" s="202"/>
    </row>
    <row r="18" spans="1:19" x14ac:dyDescent="0.25">
      <c r="B18" s="206" t="s">
        <v>7</v>
      </c>
      <c r="C18" s="207">
        <f ca="1">C3</f>
        <v>0.61999427935994933</v>
      </c>
      <c r="D18" s="207">
        <f t="shared" ref="D18:G18" ca="1" si="5">D3</f>
        <v>14.499365042342939</v>
      </c>
      <c r="E18" s="207">
        <f t="shared" ca="1" si="5"/>
        <v>7.0975032951730768</v>
      </c>
      <c r="F18" s="207">
        <f t="shared" ca="1" si="5"/>
        <v>4.1034088080432844E-2</v>
      </c>
      <c r="G18" s="208">
        <f t="shared" ca="1" si="5"/>
        <v>9.4668399229843964E-2</v>
      </c>
      <c r="H18" s="209">
        <f t="shared" ref="H18:H28" ca="1" si="6">C18/C$28</f>
        <v>0.31990306349223535</v>
      </c>
      <c r="I18" s="210">
        <f t="shared" ref="I18:I28" ca="1" si="7">D18/D$28</f>
        <v>0.77689896970578187</v>
      </c>
      <c r="J18" s="210">
        <f t="shared" ref="J18:J28" ca="1" si="8">E18/E$28</f>
        <v>0.4806535606944089</v>
      </c>
      <c r="K18" s="210">
        <f t="shared" ref="K18:K28" ca="1" si="9">F18/F$28</f>
        <v>2.9507589652020476E-3</v>
      </c>
      <c r="L18" s="211">
        <f t="shared" ref="L18:L28" ca="1" si="10">G18/G$28</f>
        <v>0.30621887831615829</v>
      </c>
      <c r="N18" s="231">
        <f ca="1">IFERROR(C18/SectorSum2020!C18-1,0)</f>
        <v>7.1015789046689148E-2</v>
      </c>
      <c r="O18" s="202">
        <f ca="1">IFERROR(D18/SectorSum2020!D18-1,0)</f>
        <v>7.1015789046689148E-2</v>
      </c>
      <c r="P18" s="202">
        <f ca="1">IFERROR(E18/SectorSum2020!E18-1,0)</f>
        <v>7.1015789046688482E-2</v>
      </c>
      <c r="Q18" s="202">
        <f ca="1">IFERROR(F18/SectorSum2020!F18-1,0)</f>
        <v>7.1015789046686706E-2</v>
      </c>
      <c r="R18" s="225">
        <f ca="1">IFERROR(G18/SectorSum2020!G18-1,0)</f>
        <v>7.1015789046685596E-2</v>
      </c>
      <c r="S18" s="202"/>
    </row>
    <row r="19" spans="1:19" x14ac:dyDescent="0.25">
      <c r="B19" s="206" t="s">
        <v>263</v>
      </c>
      <c r="C19" s="207">
        <f ca="1">OFFSET('Emis-Rev5Pct'!$B$7,0,MATCH($A$1,'Emis-Rev5Pct'!$C$5:$L$5,0))</f>
        <v>0.93940000000000001</v>
      </c>
      <c r="D19" s="207">
        <f ca="1">OFFSET('Emis-Rev5Pct'!$B$45,0,MATCH($A$1,'Emis-Rev5Pct'!$C$5:$L$5,0))</f>
        <v>2.3229000000000002</v>
      </c>
      <c r="E19" s="207">
        <f ca="1">OFFSET('Emis-Rev5Pct'!$B$25,0,MATCH($A$1,'Emis-Rev5Pct'!$C$5:$L$5,0))</f>
        <v>1.9755</v>
      </c>
      <c r="F19" s="207">
        <f ca="1">OFFSET('Emis-Rev5Pct'!$B$57,0,MATCH($A$1,'Emis-Rev5Pct'!$C$5:$L$5,0))</f>
        <v>8.0533000000000001</v>
      </c>
      <c r="G19" s="208">
        <f ca="1">OFFSET('Emis-Rev5Pct'!$B$69,0,MATCH($A$1,'Emis-Rev5Pct'!$C$5:$L$5,0))</f>
        <v>0.12379999999999999</v>
      </c>
      <c r="H19" s="210">
        <f t="shared" ca="1" si="6"/>
        <v>0.48470921079279045</v>
      </c>
      <c r="I19" s="210">
        <f t="shared" ca="1" si="7"/>
        <v>0.12446466527736635</v>
      </c>
      <c r="J19" s="210">
        <f t="shared" ca="1" si="8"/>
        <v>0.13378382082577814</v>
      </c>
      <c r="K19" s="210">
        <f t="shared" ca="1" si="9"/>
        <v>0.57911234990483995</v>
      </c>
      <c r="L19" s="211">
        <f t="shared" ca="1" si="10"/>
        <v>0.40044933096945617</v>
      </c>
      <c r="N19" s="232">
        <f ca="1">IFERROR(C19/SectorSum2020!C19-1,0)</f>
        <v>-0.52416882728424785</v>
      </c>
      <c r="O19" s="202">
        <f ca="1">IFERROR(D19/SectorSum2020!D19-1,0)</f>
        <v>7.1843853820598103E-2</v>
      </c>
      <c r="P19" s="202">
        <f ca="1">IFERROR(E19/SectorSum2020!E19-1,0)</f>
        <v>-0.45212325753675386</v>
      </c>
      <c r="Q19" s="202">
        <f ca="1">IFERROR(F19/SectorSum2020!F19-1,0)</f>
        <v>0.20858720773178852</v>
      </c>
      <c r="R19" s="225">
        <f ca="1">IFERROR(G19/SectorSum2020!G19-1,0)</f>
        <v>0.13682277318640956</v>
      </c>
      <c r="S19" s="202"/>
    </row>
    <row r="20" spans="1:19" x14ac:dyDescent="0.25">
      <c r="B20" s="212" t="s">
        <v>264</v>
      </c>
      <c r="C20" s="207" cm="1">
        <f t="array" aca="1" ref="C20" ca="1">C$19*INDIRECT("TabSpHt"&amp;$A$1&amp;"!M89")</f>
        <v>0.89690000000000003</v>
      </c>
      <c r="D20" s="207" cm="1">
        <f t="array" aca="1" ref="D20" ca="1">D$19*INDIRECT("TabSpHt"&amp;$A$1&amp;"!K89")</f>
        <v>0.28600000000000003</v>
      </c>
      <c r="E20" s="207" cm="1">
        <f t="array" aca="1" ref="E20" ca="1">E$19*INDIRECT("TabSpHt"&amp;$A$1&amp;"!N89")</f>
        <v>4.58E-2</v>
      </c>
      <c r="F20" s="207" cm="1">
        <f t="array" aca="1" ref="F20" ca="1">F$19*INDIRECT("TabSpHt"&amp;$A$1&amp;"!O89")</f>
        <v>7.9367999999999999</v>
      </c>
      <c r="G20" s="208" cm="1">
        <f t="array" aca="1" ref="G20" ca="1">G$19*INDIRECT("TabSpHt"&amp;$A$1&amp;"!J89")</f>
        <v>8.1500000000000003E-2</v>
      </c>
      <c r="H20" s="210">
        <f t="shared" ca="1" si="6"/>
        <v>0.46278016942735123</v>
      </c>
      <c r="I20" s="210">
        <f t="shared" ca="1" si="7"/>
        <v>1.5324333492327168E-2</v>
      </c>
      <c r="J20" s="210">
        <f t="shared" ca="1" si="8"/>
        <v>3.1016446437968303E-3</v>
      </c>
      <c r="K20" s="210">
        <f t="shared" ca="1" si="9"/>
        <v>0.5707348414593687</v>
      </c>
      <c r="L20" s="211">
        <f t="shared" ca="1" si="10"/>
        <v>0.26362375180945624</v>
      </c>
      <c r="N20" s="232">
        <f ca="1">IFERROR(C20/SectorSum2020!C20-1,0)</f>
        <v>-0.52600131422431451</v>
      </c>
      <c r="O20" s="202">
        <f ca="1">IFERROR(D20/SectorSum2020!D20-1,0)</f>
        <v>0.23702422145328716</v>
      </c>
      <c r="P20" s="202">
        <f ca="1">IFERROR(E20/SectorSum2020!E20-1,0)</f>
        <v>0.15499735258467973</v>
      </c>
      <c r="Q20" s="202">
        <f ca="1">IFERROR(F20/SectorSum2020!F20-1,0)</f>
        <v>0.21126287676459388</v>
      </c>
      <c r="R20" s="225">
        <f ca="1">IFERROR(G20/SectorSum2020!G20-1,0)</f>
        <v>0.22188905547226345</v>
      </c>
      <c r="S20" s="202"/>
    </row>
    <row r="21" spans="1:19" x14ac:dyDescent="0.25">
      <c r="B21" s="212" t="s">
        <v>265</v>
      </c>
      <c r="C21" s="207" cm="1">
        <f t="array" aca="1" ref="C21" ca="1">C$19*INDIRECT("TabSpHt"&amp;$A$1&amp;"!M90")</f>
        <v>2.5399999999999999E-2</v>
      </c>
      <c r="D21" s="207" cm="1">
        <f t="array" aca="1" ref="D21" ca="1">D$19*INDIRECT("TabSpHt"&amp;$A$1&amp;"!K90")</f>
        <v>1.8178000000000001</v>
      </c>
      <c r="E21" s="207" cm="1">
        <f t="array" aca="1" ref="E21" ca="1">E$19*INDIRECT("TabSpHt"&amp;$A$1&amp;"!N90")</f>
        <v>1.9088000000000001</v>
      </c>
      <c r="F21" s="207" cm="1">
        <f t="array" aca="1" ref="F21" ca="1">F$19*INDIRECT("TabSpHt"&amp;$A$1&amp;"!O90")</f>
        <v>0.1028</v>
      </c>
      <c r="G21" s="208" cm="1">
        <f t="array" aca="1" ref="G21" ca="1">G$19*INDIRECT("TabSpHt"&amp;$A$1&amp;"!J90")</f>
        <v>3.5000000000000001E-3</v>
      </c>
      <c r="H21" s="210">
        <f t="shared" ca="1" si="6"/>
        <v>1.3105827074874257E-2</v>
      </c>
      <c r="I21" s="210">
        <f t="shared" ca="1" si="7"/>
        <v>9.7400606371861279E-2</v>
      </c>
      <c r="J21" s="210">
        <f t="shared" ca="1" si="8"/>
        <v>0.1292667968576286</v>
      </c>
      <c r="K21" s="210">
        <f t="shared" ca="1" si="9"/>
        <v>7.3923422162613522E-3</v>
      </c>
      <c r="L21" s="211">
        <f t="shared" ca="1" si="10"/>
        <v>1.1321265415130023E-2</v>
      </c>
      <c r="N21" s="232">
        <f ca="1">IFERROR(C21/SectorSum2020!C21-1,0)</f>
        <v>-0.59990115311991343</v>
      </c>
      <c r="O21" s="202">
        <f ca="1">IFERROR(D21/SectorSum2020!D21-1,0)</f>
        <v>5.8645390483955673E-2</v>
      </c>
      <c r="P21" s="202">
        <f ca="1">IFERROR(E21/SectorSum2020!E21-1,0)</f>
        <v>-0.46143605597248527</v>
      </c>
      <c r="Q21" s="202">
        <f ca="1">IFERROR(F21/SectorSum2020!F21-1,0)</f>
        <v>5.4358974358974299E-2</v>
      </c>
      <c r="R21" s="225">
        <f ca="1">IFERROR(G21/SectorSum2020!G21-1,0)</f>
        <v>2.9411764705882248E-2</v>
      </c>
      <c r="S21" s="202"/>
    </row>
    <row r="22" spans="1:19" x14ac:dyDescent="0.25">
      <c r="B22" s="212" t="s">
        <v>266</v>
      </c>
      <c r="C22" s="207" cm="1">
        <f t="array" aca="1" ref="C22" ca="1">C$19*INDIRECT("TabSpHt"&amp;$A$1&amp;"!M91")</f>
        <v>8.9999999999999998E-4</v>
      </c>
      <c r="D22" s="207" cm="1">
        <f t="array" aca="1" ref="D22" ca="1">D$19*INDIRECT("TabSpHt"&amp;$A$1&amp;"!K91")</f>
        <v>1.2000000000000001E-3</v>
      </c>
      <c r="E22" s="207" cm="1">
        <f t="array" aca="1" ref="E22" ca="1">E$19*INDIRECT("TabSpHt"&amp;$A$1&amp;"!N91")</f>
        <v>1.2999999999999999E-3</v>
      </c>
      <c r="F22" s="207" cm="1">
        <f t="array" aca="1" ref="F22" ca="1">F$19*INDIRECT("TabSpHt"&amp;$A$1&amp;"!O91")</f>
        <v>2.5000000000000001E-3</v>
      </c>
      <c r="G22" s="208" cm="1">
        <f t="array" aca="1" ref="G22" ca="1">G$19*INDIRECT("TabSpHt"&amp;$A$1&amp;"!J91")</f>
        <v>2.9999999999999997E-4</v>
      </c>
      <c r="H22" s="210">
        <f t="shared" ca="1" si="6"/>
        <v>4.6437969950341857E-4</v>
      </c>
      <c r="I22" s="210">
        <f t="shared" ca="1" si="7"/>
        <v>6.4297902765009094E-5</v>
      </c>
      <c r="J22" s="210">
        <f t="shared" ca="1" si="8"/>
        <v>8.8037948404713512E-5</v>
      </c>
      <c r="K22" s="210">
        <f t="shared" ca="1" si="9"/>
        <v>1.7977485934487724E-4</v>
      </c>
      <c r="L22" s="211">
        <f t="shared" ca="1" si="10"/>
        <v>9.7039417843971609E-4</v>
      </c>
      <c r="N22" s="232">
        <f ca="1">IFERROR(C22/SectorSum2020!C22-1,0)</f>
        <v>-0.55839483573688076</v>
      </c>
      <c r="O22" s="202">
        <f ca="1">IFERROR(D22/SectorSum2020!D22-1,0)</f>
        <v>0</v>
      </c>
      <c r="P22" s="202">
        <f ca="1">IFERROR(E22/SectorSum2020!E22-1,0)</f>
        <v>-0.39946098350623893</v>
      </c>
      <c r="Q22" s="202">
        <f ca="1">IFERROR(F22/SectorSum2020!F22-1,0)</f>
        <v>8.6956521739130377E-2</v>
      </c>
      <c r="R22" s="225">
        <f ca="1">IFERROR(G22/SectorSum2020!G22-1,0)</f>
        <v>0</v>
      </c>
      <c r="S22" s="202"/>
    </row>
    <row r="23" spans="1:19" x14ac:dyDescent="0.25">
      <c r="B23" s="212" t="s">
        <v>267</v>
      </c>
      <c r="C23" s="207" cm="1">
        <f t="array" aca="1" ref="C23" ca="1">C$19*INDIRECT("TabSpHt"&amp;$A$1&amp;"!M92")</f>
        <v>1.6199999999999999E-2</v>
      </c>
      <c r="D23" s="207" cm="1">
        <f t="array" aca="1" ref="D23" ca="1">D$19*INDIRECT("TabSpHt"&amp;$A$1&amp;"!K92")</f>
        <v>0.21780000000000002</v>
      </c>
      <c r="E23" s="207" cm="1">
        <f t="array" aca="1" ref="E23" ca="1">E$19*INDIRECT("TabSpHt"&amp;$A$1&amp;"!N92")</f>
        <v>1.9699999999999999E-2</v>
      </c>
      <c r="F23" s="207" cm="1">
        <f t="array" aca="1" ref="F23" ca="1">F$19*INDIRECT("TabSpHt"&amp;$A$1&amp;"!O92")</f>
        <v>1.11E-2</v>
      </c>
      <c r="G23" s="208" cm="1">
        <f t="array" aca="1" ref="G23" ca="1">G$19*INDIRECT("TabSpHt"&amp;$A$1&amp;"!J92")</f>
        <v>3.85E-2</v>
      </c>
      <c r="H23" s="210">
        <f t="shared" ca="1" si="6"/>
        <v>8.3588345910615338E-3</v>
      </c>
      <c r="I23" s="210">
        <f t="shared" ca="1" si="7"/>
        <v>1.167006935184915E-2</v>
      </c>
      <c r="J23" s="210">
        <f t="shared" ca="1" si="8"/>
        <v>1.334113525825274E-3</v>
      </c>
      <c r="K23" s="210">
        <f t="shared" ca="1" si="9"/>
        <v>7.9820037549125505E-4</v>
      </c>
      <c r="L23" s="211">
        <f t="shared" ca="1" si="10"/>
        <v>0.12453391956643024</v>
      </c>
      <c r="N23" s="232">
        <f ca="1">IFERROR(C23/SectorSum2020!C23-1,0)</f>
        <v>-2.4675710829920594E-2</v>
      </c>
      <c r="O23" s="202">
        <f ca="1">IFERROR(D23/SectorSum2020!D23-1,0)</f>
        <v>0</v>
      </c>
      <c r="P23" s="202">
        <f ca="1">IFERROR(E23/SectorSum2020!E23-1,0)</f>
        <v>1.1163985036503732E-2</v>
      </c>
      <c r="Q23" s="202">
        <f ca="1">IFERROR(F23/SectorSum2020!F23-1,0)</f>
        <v>0</v>
      </c>
      <c r="R23" s="225">
        <f ca="1">IFERROR(G23/SectorSum2020!G23-1,0)</f>
        <v>0</v>
      </c>
      <c r="S23" s="202"/>
    </row>
    <row r="24" spans="1:19" x14ac:dyDescent="0.25">
      <c r="B24" s="206" t="s">
        <v>8</v>
      </c>
      <c r="C24" s="207" cm="1">
        <f t="array" aca="1" ref="C24" ca="1">INDIRECT("'"&amp;$A$1&amp;"NRARSummary'!B5")</f>
        <v>0.12403847550265712</v>
      </c>
      <c r="D24" s="207" cm="1">
        <f t="array" aca="1" ref="D24" ca="1">INDIRECT("'"&amp;$A$1&amp;"NRARSummary'!C5")</f>
        <v>0.39237950306004149</v>
      </c>
      <c r="E24" s="207" cm="1">
        <f t="array" aca="1" ref="E24" ca="1">INDIRECT("'"&amp;$A$1&amp;"NRARSummary'!D5")</f>
        <v>3.0943796973291523E-2</v>
      </c>
      <c r="F24" s="207" cm="1">
        <f t="array" aca="1" ref="F24" ca="1">INDIRECT("'"&amp;$A$1&amp;"NRARSummary'!E5")</f>
        <v>2.3044356833085944</v>
      </c>
      <c r="G24" s="208" cm="1">
        <f t="array" aca="1" ref="G24" ca="1">INDIRECT("'"&amp;$A$1&amp;"NRARSummary'!F5")</f>
        <v>5.0848470242789323E-2</v>
      </c>
      <c r="H24" s="210">
        <f t="shared" ca="1" si="6"/>
        <v>6.4001055534206736E-2</v>
      </c>
      <c r="I24" s="210">
        <f t="shared" ca="1" si="7"/>
        <v>2.102431594561428E-2</v>
      </c>
      <c r="J24" s="210">
        <f t="shared" ca="1" si="8"/>
        <v>2.0955603087542841E-3</v>
      </c>
      <c r="K24" s="210">
        <f t="shared" ca="1" si="9"/>
        <v>0.16571184033444747</v>
      </c>
      <c r="L24" s="211">
        <f t="shared" ca="1" si="10"/>
        <v>0.16447686502055966</v>
      </c>
      <c r="N24" s="232">
        <f ca="1">IFERROR(C24/SectorSum2020!C24-1,0)</f>
        <v>8.714345064622675E-2</v>
      </c>
      <c r="O24" s="202">
        <f ca="1">IFERROR(D24/SectorSum2020!D24-1,0)</f>
        <v>8.7143450646226972E-2</v>
      </c>
      <c r="P24" s="202">
        <f ca="1">IFERROR(E24/SectorSum2020!E24-1,0)</f>
        <v>8.7143450646226972E-2</v>
      </c>
      <c r="Q24" s="202">
        <f ca="1">IFERROR(F24/SectorSum2020!F24-1,0)</f>
        <v>8.7143450646226972E-2</v>
      </c>
      <c r="R24" s="225">
        <f ca="1">IFERROR(G24/SectorSum2020!G24-1,0)</f>
        <v>8.7143450646227194E-2</v>
      </c>
      <c r="S24" s="202"/>
    </row>
    <row r="25" spans="1:19" x14ac:dyDescent="0.25">
      <c r="A25" s="2"/>
      <c r="B25" s="206" t="s">
        <v>269</v>
      </c>
      <c r="C25" s="207">
        <f ca="1">OFFSET(OnRoad!$B$6,MATCH($A$1,OnRoad!$A$7:$A$17,0),MATCH(C17,OnRoad!$C$6:$I$6,0))</f>
        <v>5.3779949156334717E-2</v>
      </c>
      <c r="D25" s="207">
        <f ca="1">OFFSET(OnRoad!$B$6,MATCH($A$1,OnRoad!$A$7:$A$17,0),MATCH(D17,OnRoad!$C$6:$I$6,0))</f>
        <v>0.68601154556560284</v>
      </c>
      <c r="E25" s="207">
        <f ca="1">OFFSET(OnRoad!$B$6,MATCH($A$1,OnRoad!$A$7:$A$17,0),MATCH(E17,OnRoad!$C$6:$I$6,0))</f>
        <v>2.5410560249381499E-3</v>
      </c>
      <c r="F25" s="207">
        <f ca="1">OFFSET(OnRoad!$B$6,MATCH($A$1,OnRoad!$A$7:$A$17,0),MATCH(F17,OnRoad!$C$6:$I$6,0))</f>
        <v>1.1187834707814819</v>
      </c>
      <c r="G25" s="208">
        <f ca="1">OFFSET(OnRoad!$B$6,MATCH($A$1,OnRoad!$A$7:$A$17,0),MATCH(G17,OnRoad!$C$6:$I$6,0))</f>
        <v>3.832236434362768E-2</v>
      </c>
      <c r="H25" s="210">
        <f t="shared" ca="1" si="6"/>
        <v>2.7749240698364271E-2</v>
      </c>
      <c r="I25" s="210">
        <f t="shared" ca="1" si="7"/>
        <v>3.6757586377042281E-2</v>
      </c>
      <c r="J25" s="210">
        <f t="shared" ca="1" si="8"/>
        <v>1.7208412247460869E-4</v>
      </c>
      <c r="K25" s="210">
        <f t="shared" ca="1" si="9"/>
        <v>8.0451656438845789E-2</v>
      </c>
      <c r="L25" s="211">
        <f t="shared" ca="1" si="10"/>
        <v>0.12395933087700685</v>
      </c>
      <c r="N25" s="232">
        <f ca="1">IFERROR(C25/SectorSum2020!C25-1,0)</f>
        <v>-0.27200685513765255</v>
      </c>
      <c r="O25" s="202">
        <f ca="1">IFERROR(D25/SectorSum2020!D25-1,0)</f>
        <v>-0.41671395446089343</v>
      </c>
      <c r="P25" s="202">
        <f ca="1">IFERROR(E25/SectorSum2020!E25-1,0)</f>
        <v>-7.4420950035670286E-2</v>
      </c>
      <c r="Q25" s="202">
        <f ca="1">IFERROR(F25/SectorSum2020!F25-1,0)</f>
        <v>-0.21440679788774164</v>
      </c>
      <c r="R25" s="225">
        <f ca="1">IFERROR(G25/SectorSum2020!G25-1,0)</f>
        <v>-3.6068982974549191E-2</v>
      </c>
      <c r="S25" s="202"/>
    </row>
    <row r="26" spans="1:19" x14ac:dyDescent="0.25">
      <c r="A26" s="2"/>
      <c r="B26" s="206" t="s">
        <v>270</v>
      </c>
      <c r="C26" s="207" cm="1">
        <f t="array" aca="1" ref="C26" ca="1">INDIRECT("'"&amp;$A$1&amp;"NRARSummary'!B8")</f>
        <v>0.12388367567229894</v>
      </c>
      <c r="D26" s="207" cm="1">
        <f t="array" aca="1" ref="D26" ca="1">INDIRECT("'"&amp;$A$1&amp;"NRARSummary'!C8")</f>
        <v>0.44616336817042634</v>
      </c>
      <c r="E26" s="207" cm="1">
        <f t="array" aca="1" ref="E26" ca="1">INDIRECT("'"&amp;$A$1&amp;"NRARSummary'!D8")</f>
        <v>5.6575988827362522</v>
      </c>
      <c r="F26" s="207" cm="1">
        <f t="array" aca="1" ref="F26" ca="1">INDIRECT("'"&amp;$A$1&amp;"NRARSummary'!E8")</f>
        <v>0.16436125992632034</v>
      </c>
      <c r="G26" s="208" cm="1">
        <f t="array" aca="1" ref="G26" ca="1">INDIRECT("'"&amp;$A$1&amp;"NRARSummary'!F8")</f>
        <v>0</v>
      </c>
      <c r="H26" s="210">
        <f t="shared" ca="1" si="6"/>
        <v>6.3921182313423489E-2</v>
      </c>
      <c r="I26" s="210">
        <f t="shared" ca="1" si="7"/>
        <v>2.3906140719942522E-2</v>
      </c>
      <c r="J26" s="210">
        <f t="shared" ca="1" si="8"/>
        <v>0.38314107579453771</v>
      </c>
      <c r="K26" s="210">
        <f t="shared" ca="1" si="9"/>
        <v>1.1819208954000418E-2</v>
      </c>
      <c r="L26" s="211">
        <f t="shared" ca="1" si="10"/>
        <v>0</v>
      </c>
      <c r="N26" s="232">
        <f ca="1">IFERROR(C26/SectorSum2020!C26-1,0)</f>
        <v>4.4087136683638173E-2</v>
      </c>
      <c r="O26" s="202">
        <f ca="1">IFERROR(D26/SectorSum2020!D26-1,0)</f>
        <v>2.9228963909321948E-2</v>
      </c>
      <c r="P26" s="202">
        <f ca="1">IFERROR(E26/SectorSum2020!E26-1,0)</f>
        <v>3.9805390091115278E-2</v>
      </c>
      <c r="Q26" s="202">
        <f ca="1">IFERROR(F26/SectorSum2020!F26-1,0)</f>
        <v>6.1328243416784112E-2</v>
      </c>
      <c r="R26" s="225">
        <f ca="1">IFERROR(G26/SectorSum2020!G26-1,0)</f>
        <v>0</v>
      </c>
      <c r="S26" s="202"/>
    </row>
    <row r="27" spans="1:19" x14ac:dyDescent="0.25">
      <c r="B27" s="214" t="s">
        <v>271</v>
      </c>
      <c r="C27" s="215" cm="1">
        <f t="array" aca="1" ref="C27" ca="1">INDIRECT("'"&amp;$A$1&amp;"NRARSummary'!B9")-INDIRECT("'"&amp;$A$1&amp;"NRARSummary'!B8")</f>
        <v>7.6972836001024642E-2</v>
      </c>
      <c r="D27" s="215" cm="1">
        <f t="array" aca="1" ref="D27" ca="1">INDIRECT("'"&amp;$A$1&amp;"NRARSummary'!C9")-INDIRECT("'"&amp;$A$1&amp;"NRARSummary'!C8")</f>
        <v>0.31630870517554732</v>
      </c>
      <c r="E27" s="215" cm="1">
        <f t="array" aca="1" ref="E27" ca="1">INDIRECT("'"&amp;$A$1&amp;"NRARSummary'!D9")-INDIRECT("'"&amp;$A$1&amp;"NRARSummary'!D8")</f>
        <v>2.2725169530355416E-3</v>
      </c>
      <c r="F27" s="215" cm="1">
        <f t="array" aca="1" ref="F27" ca="1">INDIRECT("'"&amp;$A$1&amp;"NRARSummary'!E9")-INDIRECT("'"&amp;$A$1&amp;"NRARSummary'!E8")</f>
        <v>2.2243681066634955</v>
      </c>
      <c r="G27" s="216" cm="1">
        <f t="array" aca="1" ref="G27" ca="1">INDIRECT("'"&amp;$A$1&amp;"NRARSummary'!F9")-INDIRECT("'"&amp;$A$1&amp;"NRARSummary'!F8")</f>
        <v>1.513486454965307E-3</v>
      </c>
      <c r="H27" s="217">
        <f t="shared" ca="1" si="6"/>
        <v>3.9716247168979715E-2</v>
      </c>
      <c r="I27" s="217">
        <f t="shared" ca="1" si="7"/>
        <v>1.6948321974252726E-2</v>
      </c>
      <c r="J27" s="217">
        <f t="shared" ca="1" si="8"/>
        <v>1.5389825404629214E-4</v>
      </c>
      <c r="K27" s="217">
        <f t="shared" ca="1" si="9"/>
        <v>0.15995418540266432</v>
      </c>
      <c r="L27" s="218">
        <f t="shared" ca="1" si="10"/>
        <v>4.8955948168189923E-3</v>
      </c>
      <c r="N27" s="233">
        <f ca="1">IFERROR(C27/SectorSum2020!C27-1,0)</f>
        <v>-0.14400189784019957</v>
      </c>
      <c r="O27" s="226">
        <f ca="1">IFERROR(D27/SectorSum2020!D27-1,0)</f>
        <v>0.10846825254934722</v>
      </c>
      <c r="P27" s="226">
        <f ca="1">IFERROR(E27/SectorSum2020!E27-1,0)</f>
        <v>0</v>
      </c>
      <c r="Q27" s="226">
        <f ca="1">IFERROR(F27/SectorSum2020!F27-1,0)</f>
        <v>-0.1585468631356165</v>
      </c>
      <c r="R27" s="227">
        <f ca="1">IFERROR(G27/SectorSum2020!G27-1,0)</f>
        <v>2.033388544968906E-2</v>
      </c>
      <c r="S27" s="202"/>
    </row>
    <row r="28" spans="1:19" x14ac:dyDescent="0.25">
      <c r="B28" s="219" t="s">
        <v>10</v>
      </c>
      <c r="C28" s="220">
        <f ca="1">SUM(C18:C19,C24:C27)</f>
        <v>1.9380692156922648</v>
      </c>
      <c r="D28" s="220">
        <f ca="1">SUM(D18:D19,D24:D27)</f>
        <v>18.663128164314557</v>
      </c>
      <c r="E28" s="220">
        <f ca="1">SUM(E18:E19,E24:E27)</f>
        <v>14.766359547860596</v>
      </c>
      <c r="F28" s="220">
        <f ca="1">SUM(F18:F19,F24:F27)</f>
        <v>13.906282608760325</v>
      </c>
      <c r="G28" s="221">
        <f ca="1">SUM(G18:G19,G24:G27)</f>
        <v>0.30915272027122626</v>
      </c>
      <c r="H28" s="222">
        <f t="shared" ca="1" si="6"/>
        <v>1</v>
      </c>
      <c r="I28" s="222">
        <f t="shared" ca="1" si="7"/>
        <v>1</v>
      </c>
      <c r="J28" s="222">
        <f t="shared" ca="1" si="8"/>
        <v>1</v>
      </c>
      <c r="K28" s="222">
        <f t="shared" ca="1" si="9"/>
        <v>1</v>
      </c>
      <c r="L28" s="223">
        <f t="shared" ca="1" si="10"/>
        <v>1</v>
      </c>
      <c r="N28" s="234">
        <f ca="1">IFERROR(C28/SectorSum2020!C28-1,0)</f>
        <v>-0.34295129303064187</v>
      </c>
      <c r="O28" s="228">
        <f ca="1">IFERROR(D28/SectorSum2020!D28-1,0)</f>
        <v>3.9089042723124523E-2</v>
      </c>
      <c r="P28" s="228">
        <f ca="1">IFERROR(E28/SectorSum2020!E28-1,0)</f>
        <v>-5.9894238161006474E-2</v>
      </c>
      <c r="Q28" s="228">
        <f ca="1">IFERROR(F28/SectorSum2020!F28-1,0)</f>
        <v>6.6113599448853311E-2</v>
      </c>
      <c r="R28" s="229">
        <f ca="1">IFERROR(G28/SectorSum2020!G28-1,0)</f>
        <v>8.3592702582312883E-2</v>
      </c>
      <c r="S28" s="202"/>
    </row>
    <row r="29" spans="1:19" x14ac:dyDescent="0.25">
      <c r="M29" s="202"/>
      <c r="N29" s="202"/>
      <c r="O29" s="202"/>
      <c r="P29" s="202"/>
      <c r="Q29" s="202"/>
      <c r="R29" s="202"/>
      <c r="S29" s="202"/>
    </row>
    <row r="30" spans="1:19" x14ac:dyDescent="0.25">
      <c r="E30" s="213"/>
      <c r="M30" s="202"/>
      <c r="N30" s="202"/>
      <c r="O30" s="202"/>
      <c r="P30" s="202"/>
      <c r="Q30" s="202"/>
      <c r="R30" s="202"/>
      <c r="S30" s="202"/>
    </row>
    <row r="31" spans="1:19" x14ac:dyDescent="0.25">
      <c r="M31" s="202"/>
      <c r="N31" s="202"/>
      <c r="O31" s="202"/>
      <c r="P31" s="202"/>
      <c r="Q31" s="202"/>
      <c r="R31" s="202"/>
      <c r="S31" s="202"/>
    </row>
    <row r="32" spans="1:19" x14ac:dyDescent="0.25">
      <c r="M32" s="202"/>
      <c r="N32" s="202"/>
      <c r="O32" s="202"/>
      <c r="P32" s="202"/>
      <c r="Q32" s="202"/>
      <c r="R32" s="202"/>
      <c r="S32" s="202"/>
    </row>
  </sheetData>
  <sheetProtection algorithmName="SHA-512" hashValue="cok+PX4XT2uEuuskB+Uropo5/fWoyjJBLUO6vIS/8pl9wwPXiwY9a8kYVsmj7mTgYzaRhknsvEBwbS4H2tqkPg==" saltValue="yDheYu6bn6IKYWFYYO6HMA==" spinCount="100000" sheet="1" objects="1" scenarios="1"/>
  <mergeCells count="11">
    <mergeCell ref="AJ16:AQ16"/>
    <mergeCell ref="AR16:AY16"/>
    <mergeCell ref="AZ16:BG16"/>
    <mergeCell ref="N1:R1"/>
    <mergeCell ref="N16:R16"/>
    <mergeCell ref="AB16:AI16"/>
    <mergeCell ref="C1:G1"/>
    <mergeCell ref="H1:L1"/>
    <mergeCell ref="C16:G16"/>
    <mergeCell ref="H16:L16"/>
    <mergeCell ref="T16:AA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5ECA1-2C28-402F-A957-AE7B388D37A4}">
  <sheetPr codeName="Sheet6">
    <tabColor theme="8" tint="0.79998168889431442"/>
  </sheetPr>
  <dimension ref="A1:BG32"/>
  <sheetViews>
    <sheetView workbookViewId="0"/>
  </sheetViews>
  <sheetFormatPr defaultRowHeight="15" x14ac:dyDescent="0.25"/>
  <cols>
    <col min="2" max="2" width="25.7109375" customWidth="1"/>
    <col min="3" max="19" width="8.7109375" customWidth="1"/>
  </cols>
  <sheetData>
    <row r="1" spans="1:59" x14ac:dyDescent="0.25">
      <c r="A1" s="224">
        <v>2027</v>
      </c>
      <c r="B1" s="201"/>
      <c r="C1" s="274" t="s">
        <v>0</v>
      </c>
      <c r="D1" s="274"/>
      <c r="E1" s="274"/>
      <c r="F1" s="274"/>
      <c r="G1" s="274"/>
      <c r="H1" s="274" t="s">
        <v>262</v>
      </c>
      <c r="I1" s="274"/>
      <c r="J1" s="274"/>
      <c r="K1" s="274"/>
      <c r="L1" s="274"/>
      <c r="M1" s="202"/>
      <c r="N1" s="274" t="s">
        <v>275</v>
      </c>
      <c r="O1" s="274"/>
      <c r="P1" s="274"/>
      <c r="Q1" s="274"/>
      <c r="R1" s="274"/>
      <c r="S1" s="202"/>
    </row>
    <row r="2" spans="1:59" x14ac:dyDescent="0.25">
      <c r="B2" s="203" t="s">
        <v>1</v>
      </c>
      <c r="C2" s="204" t="s">
        <v>2</v>
      </c>
      <c r="D2" s="204" t="s">
        <v>3</v>
      </c>
      <c r="E2" s="204" t="s">
        <v>4</v>
      </c>
      <c r="F2" s="204" t="s">
        <v>5</v>
      </c>
      <c r="G2" s="205" t="s">
        <v>6</v>
      </c>
      <c r="H2" s="204" t="s">
        <v>2</v>
      </c>
      <c r="I2" s="204" t="s">
        <v>3</v>
      </c>
      <c r="J2" s="204" t="s">
        <v>4</v>
      </c>
      <c r="K2" s="204" t="s">
        <v>5</v>
      </c>
      <c r="L2" s="205" t="s">
        <v>6</v>
      </c>
      <c r="M2" s="202"/>
      <c r="N2" s="230" t="s">
        <v>2</v>
      </c>
      <c r="O2" s="204" t="s">
        <v>3</v>
      </c>
      <c r="P2" s="204" t="s">
        <v>4</v>
      </c>
      <c r="Q2" s="204" t="s">
        <v>5</v>
      </c>
      <c r="R2" s="205" t="s">
        <v>6</v>
      </c>
      <c r="S2" s="202"/>
    </row>
    <row r="3" spans="1:59" x14ac:dyDescent="0.25">
      <c r="A3" s="1"/>
      <c r="B3" s="206" t="s">
        <v>7</v>
      </c>
      <c r="C3" s="207">
        <f ca="1">OFFSET(PointsNoBACT!$B$5,MATCH($A$1,PointsNoBACT!$A$6:$A$15,0),0)</f>
        <v>0.62414762075740604</v>
      </c>
      <c r="D3" s="207">
        <f ca="1">OFFSET(PointsNoBACT!$E$5,MATCH($A$1,PointsNoBACT!$A$6:$A$15,0),0)</f>
        <v>14.596496282213964</v>
      </c>
      <c r="E3" s="207">
        <f ca="1">OFFSET(PointsNoBACT!$D$5,MATCH($A$1,PointsNoBACT!$A$6:$A$15,0),0)</f>
        <v>7.1450494665423605</v>
      </c>
      <c r="F3" s="207">
        <f ca="1">OFFSET(PointsNoBACT!$F$5,MATCH($A$1,PointsNoBACT!$A$6:$A$15,0),0)</f>
        <v>4.1308975417953558E-2</v>
      </c>
      <c r="G3" s="208">
        <f ca="1">OFFSET(PointsNoBACT!$H$5,MATCH($A$1,PointsNoBACT!$A$6:$A$15,0),0)</f>
        <v>9.5302582793534513E-2</v>
      </c>
      <c r="H3" s="209">
        <f t="shared" ref="H3:H13" ca="1" si="0">C3/C$13</f>
        <v>0.28353435969934704</v>
      </c>
      <c r="I3" s="210">
        <f t="shared" ref="I3:I13" ca="1" si="1">D3/D$13</f>
        <v>0.6952745516938541</v>
      </c>
      <c r="J3" s="210">
        <f t="shared" ref="J3:J13" ca="1" si="2">E3/E$13</f>
        <v>0.37300073185197491</v>
      </c>
      <c r="K3" s="210">
        <f t="shared" ref="K3:K13" ca="1" si="3">F3/F$13</f>
        <v>2.6490911522119016E-3</v>
      </c>
      <c r="L3" s="211">
        <f t="shared" ref="L3:L13" ca="1" si="4">G3/G$13</f>
        <v>0.27575468201139841</v>
      </c>
      <c r="M3" s="202"/>
      <c r="N3" s="232">
        <f ca="1">IFERROR(C3/SectorSum2020!C3-1,0)</f>
        <v>7.8190523333866002E-2</v>
      </c>
      <c r="O3" s="202">
        <f ca="1">IFERROR(D3/SectorSum2020!D3-1,0)</f>
        <v>7.8190523333863116E-2</v>
      </c>
      <c r="P3" s="202">
        <f ca="1">IFERROR(E3/SectorSum2020!E3-1,0)</f>
        <v>7.8190523333864448E-2</v>
      </c>
      <c r="Q3" s="202">
        <f ca="1">IFERROR(F3/SectorSum2020!F3-1,0)</f>
        <v>7.8190523333863116E-2</v>
      </c>
      <c r="R3" s="225">
        <f ca="1">IFERROR(G3/SectorSum2020!G3-1,0)</f>
        <v>7.8190523333862005E-2</v>
      </c>
      <c r="S3" s="202"/>
    </row>
    <row r="4" spans="1:59" x14ac:dyDescent="0.25">
      <c r="A4" s="1"/>
      <c r="B4" s="206" t="s">
        <v>263</v>
      </c>
      <c r="C4" s="207">
        <f ca="1">OFFSET('Emis-Rev5Pct'!$X$7,0,MATCH($A$1,'Emis-Rev5Pct'!$C$5:$L$5,0))</f>
        <v>0.98680000000000001</v>
      </c>
      <c r="D4" s="207">
        <f ca="1">OFFSET('Emis-Rev5Pct'!$X$33,0,MATCH($A$1,'Emis-Rev5Pct'!$C$5:$L$5,0))</f>
        <v>2.5047999999999999</v>
      </c>
      <c r="E4" s="207">
        <f ca="1">OFFSET('Emis-Rev5Pct'!$X$20,0,MATCH($A$1,'Emis-Rev5Pct'!$C$5:$L$5,0))</f>
        <v>2.2757999999999998</v>
      </c>
      <c r="F4" s="207">
        <f ca="1">OFFSET('Emis-Rev5Pct'!$X$46,0,MATCH($A$1,'Emis-Rev5Pct'!$C$5:$L$5,0))</f>
        <v>8.5562000000000005</v>
      </c>
      <c r="G4" s="208">
        <f ca="1">OFFSET('Emis-Rev5Pct'!$X$59,0,MATCH($A$1,'Emis-Rev5Pct'!$C$5:$L$5,0))</f>
        <v>0.1326</v>
      </c>
      <c r="H4" s="210">
        <f t="shared" ca="1" si="0"/>
        <v>0.44827809455043199</v>
      </c>
      <c r="I4" s="210">
        <f t="shared" ca="1" si="1"/>
        <v>0.11931107735798466</v>
      </c>
      <c r="J4" s="210">
        <f t="shared" ca="1" si="2"/>
        <v>0.11880604459404995</v>
      </c>
      <c r="K4" s="210">
        <f t="shared" ca="1" si="3"/>
        <v>0.54869803686063812</v>
      </c>
      <c r="L4" s="211">
        <f t="shared" ca="1" si="4"/>
        <v>0.38367345105354339</v>
      </c>
      <c r="M4" s="202"/>
      <c r="N4" s="232">
        <f ca="1">IFERROR(C4/SectorSum2020!C4-1,0)</f>
        <v>-0.53971733756238627</v>
      </c>
      <c r="O4" s="202">
        <f ca="1">IFERROR(D4/SectorSum2020!D4-1,0)</f>
        <v>7.8400137770697764E-2</v>
      </c>
      <c r="P4" s="202">
        <f ca="1">IFERROR(E4/SectorSum2020!E4-1,0)</f>
        <v>-0.42412510438017159</v>
      </c>
      <c r="Q4" s="202">
        <f ca="1">IFERROR(F4/SectorSum2020!F4-1,0)</f>
        <v>0.19853198672064343</v>
      </c>
      <c r="R4" s="225">
        <f ca="1">IFERROR(G4/SectorSum2020!G4-1,0)</f>
        <v>0.13819742489270381</v>
      </c>
      <c r="S4" s="202"/>
    </row>
    <row r="5" spans="1:59" x14ac:dyDescent="0.25">
      <c r="A5" s="1"/>
      <c r="B5" s="212" t="s">
        <v>264</v>
      </c>
      <c r="C5" s="207" cm="1">
        <f t="array" aca="1" ref="C5" ca="1">C$4*INDIRECT("TabSpHt"&amp;$A$1&amp;"!T89")</f>
        <v>0.94330000000000003</v>
      </c>
      <c r="D5" s="207" cm="1">
        <f t="array" aca="1" ref="D5" ca="1">D$4*INDIRECT("TabSpHt"&amp;$A$1&amp;"!R89")</f>
        <v>0.33710000000000001</v>
      </c>
      <c r="E5" s="207" cm="1">
        <f t="array" aca="1" ref="E5" ca="1">E$4*INDIRECT("TabSpHt"&amp;$A$1&amp;"!U89")</f>
        <v>5.5400000000000012E-2</v>
      </c>
      <c r="F5" s="207" cm="1">
        <f t="array" aca="1" ref="F5" ca="1">F$4*INDIRECT("TabSpHt"&amp;$A$1&amp;"!V89")</f>
        <v>8.4318000000000008</v>
      </c>
      <c r="G5" s="208" cm="1">
        <f t="array" aca="1" ref="G5" ca="1">G$4*INDIRECT("TabSpHt"&amp;$A$1&amp;"!Q89")</f>
        <v>9.01E-2</v>
      </c>
      <c r="H5" s="210">
        <f t="shared" ca="1" si="0"/>
        <v>0.42851715300914323</v>
      </c>
      <c r="I5" s="210">
        <f t="shared" ca="1" si="1"/>
        <v>1.6057076084867707E-2</v>
      </c>
      <c r="J5" s="210">
        <f t="shared" ca="1" si="2"/>
        <v>2.8921060156913477E-3</v>
      </c>
      <c r="K5" s="210">
        <f t="shared" ca="1" si="3"/>
        <v>0.54072042579667701</v>
      </c>
      <c r="L5" s="211">
        <f t="shared" ca="1" si="4"/>
        <v>0.26070119110048462</v>
      </c>
      <c r="M5" s="202"/>
      <c r="N5" s="232">
        <f ca="1">IFERROR(C5/SectorSum2020!C5-1,0)</f>
        <v>-0.54184273155568508</v>
      </c>
      <c r="O5" s="202">
        <f ca="1">IFERROR(D5/SectorSum2020!D5-1,0)</f>
        <v>0.23119065010956907</v>
      </c>
      <c r="P5" s="202">
        <f ca="1">IFERROR(E5/SectorSum2020!E5-1,0)</f>
        <v>0.12601626016260203</v>
      </c>
      <c r="Q5" s="202">
        <f ca="1">IFERROR(F5/SectorSum2020!F5-1,0)</f>
        <v>0.2009742479489518</v>
      </c>
      <c r="R5" s="225">
        <f ca="1">IFERROR(G5/SectorSum2020!G5-1,0)</f>
        <v>0.21921515561569693</v>
      </c>
      <c r="S5" s="202"/>
    </row>
    <row r="6" spans="1:59" x14ac:dyDescent="0.25">
      <c r="A6" s="1"/>
      <c r="B6" s="212" t="s">
        <v>265</v>
      </c>
      <c r="C6" s="207" cm="1">
        <f t="array" aca="1" ref="C6" ca="1">C$4*INDIRECT("TabSpHt"&amp;$A$1&amp;"!T90")</f>
        <v>2.6599999999999999E-2</v>
      </c>
      <c r="D6" s="207" cm="1">
        <f t="array" aca="1" ref="D6" ca="1">D$4*INDIRECT("TabSpHt"&amp;$A$1&amp;"!R90")</f>
        <v>1.9487999999999999</v>
      </c>
      <c r="E6" s="207" cm="1">
        <f t="array" aca="1" ref="E6" ca="1">E$4*INDIRECT("TabSpHt"&amp;$A$1&amp;"!U90")</f>
        <v>2.1995</v>
      </c>
      <c r="F6" s="207" cm="1">
        <f t="array" aca="1" ref="F6" ca="1">F$4*INDIRECT("TabSpHt"&amp;$A$1&amp;"!V90")</f>
        <v>0.11080000000000002</v>
      </c>
      <c r="G6" s="208" cm="1">
        <f t="array" aca="1" ref="G6" ca="1">G$4*INDIRECT("TabSpHt"&amp;$A$1&amp;"!Q90")</f>
        <v>3.8E-3</v>
      </c>
      <c r="H6" s="210">
        <f t="shared" ca="1" si="0"/>
        <v>1.2083702183868556E-2</v>
      </c>
      <c r="I6" s="210">
        <f t="shared" ca="1" si="1"/>
        <v>9.2827142907713392E-2</v>
      </c>
      <c r="J6" s="210">
        <f t="shared" ca="1" si="2"/>
        <v>0.11482287331251115</v>
      </c>
      <c r="K6" s="210">
        <f t="shared" ca="1" si="3"/>
        <v>7.1054606582546817E-3</v>
      </c>
      <c r="L6" s="211">
        <f t="shared" ca="1" si="4"/>
        <v>1.0995166772273491E-2</v>
      </c>
      <c r="M6" s="202"/>
      <c r="N6" s="232">
        <f ca="1">IFERROR(C6/SectorSum2020!C6-1,0)</f>
        <v>-0.60179640718562877</v>
      </c>
      <c r="O6" s="202">
        <f ca="1">IFERROR(D6/SectorSum2020!D6-1,0)</f>
        <v>6.4859843724386579E-2</v>
      </c>
      <c r="P6" s="202">
        <f ca="1">IFERROR(E6/SectorSum2020!E6-1,0)</f>
        <v>-0.43325001932541418</v>
      </c>
      <c r="Q6" s="202">
        <f ca="1">IFERROR(F6/SectorSum2020!F6-1,0)</f>
        <v>6.1302681992337238E-2</v>
      </c>
      <c r="R6" s="225">
        <f ca="1">IFERROR(G6/SectorSum2020!G6-1,0)</f>
        <v>5.555555555555558E-2</v>
      </c>
      <c r="S6" s="202"/>
    </row>
    <row r="7" spans="1:59" x14ac:dyDescent="0.25">
      <c r="A7" s="1"/>
      <c r="B7" s="212" t="s">
        <v>266</v>
      </c>
      <c r="C7" s="207" cm="1">
        <f t="array" aca="1" ref="C7" ca="1">C$4*INDIRECT("TabSpHt"&amp;$A$1&amp;"!T91")</f>
        <v>7.9999999999999993E-4</v>
      </c>
      <c r="D7" s="207" cm="1">
        <f t="array" aca="1" ref="D7" ca="1">D$4*INDIRECT("TabSpHt"&amp;$A$1&amp;"!R91")</f>
        <v>1.2000000000000001E-3</v>
      </c>
      <c r="E7" s="207" cm="1">
        <f t="array" aca="1" ref="E7" ca="1">E$4*INDIRECT("TabSpHt"&amp;$A$1&amp;"!U91")</f>
        <v>1.4E-3</v>
      </c>
      <c r="F7" s="207" cm="1">
        <f t="array" aca="1" ref="F7" ca="1">F$4*INDIRECT("TabSpHt"&amp;$A$1&amp;"!V91")</f>
        <v>2.5000000000000001E-3</v>
      </c>
      <c r="G7" s="208" cm="1">
        <f t="array" aca="1" ref="G7" ca="1">G$4*INDIRECT("TabSpHt"&amp;$A$1&amp;"!Q91")</f>
        <v>2.9999999999999997E-4</v>
      </c>
      <c r="H7" s="210">
        <f t="shared" ca="1" si="0"/>
        <v>3.6341961455243777E-4</v>
      </c>
      <c r="I7" s="210">
        <f t="shared" ca="1" si="1"/>
        <v>5.715957075598116E-5</v>
      </c>
      <c r="J7" s="210">
        <f t="shared" ca="1" si="2"/>
        <v>7.3085711587867971E-5</v>
      </c>
      <c r="K7" s="210">
        <f t="shared" ca="1" si="3"/>
        <v>1.6032176575484386E-4</v>
      </c>
      <c r="L7" s="211">
        <f t="shared" ca="1" si="4"/>
        <v>8.680394820215914E-4</v>
      </c>
      <c r="M7" s="202"/>
      <c r="N7" s="232">
        <f ca="1">IFERROR(C7/SectorSum2020!C7-1,0)</f>
        <v>-0.60000000000000009</v>
      </c>
      <c r="O7" s="202">
        <f ca="1">IFERROR(D7/SectorSum2020!D7-1,0)</f>
        <v>2.2204460492503131E-16</v>
      </c>
      <c r="P7" s="202">
        <f ca="1">IFERROR(E7/SectorSum2020!E7-1,0)</f>
        <v>-0.36363636363636365</v>
      </c>
      <c r="Q7" s="202">
        <f ca="1">IFERROR(F7/SectorSum2020!F7-1,0)</f>
        <v>4.1666666666666741E-2</v>
      </c>
      <c r="R7" s="225">
        <f ca="1">IFERROR(G7/SectorSum2020!G7-1,0)</f>
        <v>0</v>
      </c>
      <c r="S7" s="202"/>
    </row>
    <row r="8" spans="1:59" x14ac:dyDescent="0.25">
      <c r="A8" s="1"/>
      <c r="B8" s="212" t="s">
        <v>267</v>
      </c>
      <c r="C8" s="207" cm="1">
        <f t="array" aca="1" ref="C8" ca="1">C$4*INDIRECT("TabSpHt"&amp;$A$1&amp;"!T92")</f>
        <v>1.6199999999999999E-2</v>
      </c>
      <c r="D8" s="207" cm="1">
        <f t="array" aca="1" ref="D8" ca="1">D$4*INDIRECT("TabSpHt"&amp;$A$1&amp;"!R92")</f>
        <v>0.21780000000000002</v>
      </c>
      <c r="E8" s="207" cm="1">
        <f t="array" aca="1" ref="E8" ca="1">E$4*INDIRECT("TabSpHt"&amp;$A$1&amp;"!U92")</f>
        <v>1.9699999999999999E-2</v>
      </c>
      <c r="F8" s="207" cm="1">
        <f t="array" aca="1" ref="F8" ca="1">F$4*INDIRECT("TabSpHt"&amp;$A$1&amp;"!V92")</f>
        <v>1.11E-2</v>
      </c>
      <c r="G8" s="208" cm="1">
        <f t="array" aca="1" ref="G8" ca="1">G$4*INDIRECT("TabSpHt"&amp;$A$1&amp;"!Q92")</f>
        <v>3.85E-2</v>
      </c>
      <c r="H8" s="210">
        <f t="shared" ca="1" si="0"/>
        <v>7.3592471946868649E-3</v>
      </c>
      <c r="I8" s="210">
        <f t="shared" ca="1" si="1"/>
        <v>1.037446209221058E-2</v>
      </c>
      <c r="J8" s="210">
        <f t="shared" ca="1" si="2"/>
        <v>1.0284203702007136E-3</v>
      </c>
      <c r="K8" s="210">
        <f t="shared" ca="1" si="3"/>
        <v>7.1182863995150679E-4</v>
      </c>
      <c r="L8" s="211">
        <f t="shared" ca="1" si="4"/>
        <v>0.1113984001927709</v>
      </c>
      <c r="M8" s="202"/>
      <c r="N8" s="232">
        <f ca="1">IFERROR(C8/SectorSum2020!C8-1,0)</f>
        <v>-6.1349693251533388E-3</v>
      </c>
      <c r="O8" s="202">
        <f ca="1">IFERROR(D8/SectorSum2020!D8-1,0)</f>
        <v>-1.1102230246251565E-16</v>
      </c>
      <c r="P8" s="202">
        <f ca="1">IFERROR(E8/SectorSum2020!E8-1,0)</f>
        <v>-5.050505050504972E-3</v>
      </c>
      <c r="Q8" s="202">
        <f ca="1">IFERROR(F8/SectorSum2020!F8-1,0)</f>
        <v>0</v>
      </c>
      <c r="R8" s="225">
        <f ca="1">IFERROR(G8/SectorSum2020!G8-1,0)</f>
        <v>0</v>
      </c>
      <c r="S8" s="202"/>
    </row>
    <row r="9" spans="1:59" x14ac:dyDescent="0.25">
      <c r="A9" s="213"/>
      <c r="B9" s="206" t="s">
        <v>8</v>
      </c>
      <c r="C9" s="207" cm="1">
        <f t="array" aca="1" ref="C9" ca="1">INDIRECT("'"&amp;$A$1&amp;"NRARSummary'!G5")</f>
        <v>0.20186448637261434</v>
      </c>
      <c r="D9" s="207" cm="1">
        <f t="array" aca="1" ref="D9" ca="1">INDIRECT("'"&amp;$A$1&amp;"NRARSummary'!H5")</f>
        <v>1.3602168516818252</v>
      </c>
      <c r="E9" s="207" cm="1">
        <f t="array" aca="1" ref="E9" ca="1">INDIRECT("'"&amp;$A$1&amp;"NRARSummary'!I5")</f>
        <v>0.73753630470672082</v>
      </c>
      <c r="F9" s="207" cm="1">
        <f t="array" aca="1" ref="F9" ca="1">INDIRECT("'"&amp;$A$1&amp;"NRARSummary'!J5")</f>
        <v>2.5285097270360049</v>
      </c>
      <c r="G9" s="208" cm="1">
        <f t="array" aca="1" ref="G9" ca="1">INDIRECT("'"&amp;$A$1&amp;"NRARSummary'!K5")</f>
        <v>5.5897585477755703E-2</v>
      </c>
      <c r="H9" s="210">
        <f t="shared" ca="1" si="0"/>
        <v>9.1701892286701669E-2</v>
      </c>
      <c r="I9" s="210">
        <f t="shared" ca="1" si="1"/>
        <v>6.4791176147654339E-2</v>
      </c>
      <c r="J9" s="210">
        <f t="shared" ca="1" si="2"/>
        <v>3.8502404036698079E-2</v>
      </c>
      <c r="K9" s="210">
        <f t="shared" ca="1" si="3"/>
        <v>0.16215005766668422</v>
      </c>
      <c r="L9" s="211">
        <f t="shared" ca="1" si="4"/>
        <v>0.16173770381456232</v>
      </c>
      <c r="M9" s="202"/>
      <c r="N9" s="232">
        <f ca="1">IFERROR(C9/SectorSum2020!C9-1,0)</f>
        <v>0.10005390311568729</v>
      </c>
      <c r="O9" s="202">
        <f ca="1">IFERROR(D9/SectorSum2020!D9-1,0)</f>
        <v>0.10005390311568707</v>
      </c>
      <c r="P9" s="202">
        <f ca="1">IFERROR(E9/SectorSum2020!E9-1,0)</f>
        <v>0.10005390311568685</v>
      </c>
      <c r="Q9" s="202">
        <f ca="1">IFERROR(F9/SectorSum2020!F9-1,0)</f>
        <v>0.10005390311568663</v>
      </c>
      <c r="R9" s="225">
        <f ca="1">IFERROR(G9/SectorSum2020!G9-1,0)</f>
        <v>0.10005390311568729</v>
      </c>
      <c r="S9" s="202"/>
    </row>
    <row r="10" spans="1:59" x14ac:dyDescent="0.25">
      <c r="A10" s="2"/>
      <c r="B10" s="206" t="s">
        <v>269</v>
      </c>
      <c r="C10" s="207">
        <f ca="1">OFFSET(OnRoad!$N$6,MATCH($A$1,OnRoad!$A$7:$A$17,0),MATCH(C2,OnRoad!$C$6:$I$6,0))</f>
        <v>7.0625590825959331E-2</v>
      </c>
      <c r="D10" s="207">
        <f ca="1">OFFSET(OnRoad!$N$6,MATCH($A$1,OnRoad!$A$7:$A$17,0),MATCH(D2,OnRoad!$C$6:$I$6,0))</f>
        <v>0.94534644922338207</v>
      </c>
      <c r="E10" s="207">
        <f ca="1">OFFSET(OnRoad!$N$6,MATCH($A$1,OnRoad!$A$7:$A$17,0),MATCH(E2,OnRoad!$C$6:$I$6,0))</f>
        <v>3.8420971295871119E-3</v>
      </c>
      <c r="F10" s="207">
        <f ca="1">OFFSET(OnRoad!$N$6,MATCH($A$1,OnRoad!$A$7:$A$17,0),MATCH(F2,OnRoad!$C$6:$I$6,0))</f>
        <v>1.389866186726634</v>
      </c>
      <c r="G10" s="208">
        <f ca="1">OFFSET(OnRoad!$N$6,MATCH($A$1,OnRoad!$A$7:$A$17,0),MATCH(G2,OnRoad!$C$6:$I$6,0))</f>
        <v>5.9506772794328505E-2</v>
      </c>
      <c r="H10" s="210">
        <f t="shared" ca="1" si="0"/>
        <v>3.208340624438541E-2</v>
      </c>
      <c r="I10" s="210">
        <f t="shared" ca="1" si="1"/>
        <v>4.5029664377749544E-2</v>
      </c>
      <c r="J10" s="210">
        <f t="shared" ca="1" si="2"/>
        <v>2.0057314478969933E-4</v>
      </c>
      <c r="K10" s="210">
        <f t="shared" ca="1" si="3"/>
        <v>8.9130320487586193E-2</v>
      </c>
      <c r="L10" s="211">
        <f t="shared" ca="1" si="4"/>
        <v>0.17218076077721814</v>
      </c>
      <c r="M10" s="202"/>
      <c r="N10" s="232">
        <f ca="1">IFERROR(C10/SectorSum2020!C10-1,0)</f>
        <v>-0.31138986977118632</v>
      </c>
      <c r="O10" s="202">
        <f ca="1">IFERROR(D10/SectorSum2020!D10-1,0)</f>
        <v>-0.46633339279779162</v>
      </c>
      <c r="P10" s="202">
        <f ca="1">IFERROR(E10/SectorSum2020!E10-1,0)</f>
        <v>-9.2043403760594278E-2</v>
      </c>
      <c r="Q10" s="202">
        <f ca="1">IFERROR(F10/SectorSum2020!F10-1,0)</f>
        <v>-0.2525267065543535</v>
      </c>
      <c r="R10" s="225">
        <f ca="1">IFERROR(G10/SectorSum2020!G10-1,0)</f>
        <v>-4.7094314936672377E-2</v>
      </c>
      <c r="S10" s="202"/>
    </row>
    <row r="11" spans="1:59" x14ac:dyDescent="0.25">
      <c r="A11" s="2"/>
      <c r="B11" s="206" t="s">
        <v>270</v>
      </c>
      <c r="C11" s="207" cm="1">
        <f t="array" aca="1" ref="C11" ca="1">INDIRECT("'"&amp;$A$1&amp;"NRARSummary'!G8")</f>
        <v>0.21314998259300369</v>
      </c>
      <c r="D11" s="207" cm="1">
        <f t="array" aca="1" ref="D11" ca="1">INDIRECT("'"&amp;$A$1&amp;"NRARSummary'!H8")</f>
        <v>0.70209117934987364</v>
      </c>
      <c r="E11" s="207" cm="1">
        <f t="array" aca="1" ref="E11" ca="1">INDIRECT("'"&amp;$A$1&amp;"NRARSummary'!I8")</f>
        <v>8.9904348279609234</v>
      </c>
      <c r="F11" s="207" cm="1">
        <f t="array" aca="1" ref="F11" ca="1">INDIRECT("'"&amp;$A$1&amp;"NRARSummary'!J8")</f>
        <v>0.33244974863157023</v>
      </c>
      <c r="G11" s="208" cm="1">
        <f t="array" aca="1" ref="G11" ca="1">INDIRECT("'"&amp;$A$1&amp;"NRARSummary'!K8")</f>
        <v>0</v>
      </c>
      <c r="H11" s="210">
        <f t="shared" ca="1" si="0"/>
        <v>9.6828605644760285E-2</v>
      </c>
      <c r="I11" s="210">
        <f t="shared" ca="1" si="1"/>
        <v>3.3442692035999463E-2</v>
      </c>
      <c r="J11" s="210">
        <f t="shared" ca="1" si="2"/>
        <v>0.46933737634705391</v>
      </c>
      <c r="K11" s="210">
        <f t="shared" ca="1" si="3"/>
        <v>2.1319572290146929E-2</v>
      </c>
      <c r="L11" s="211">
        <f t="shared" ca="1" si="4"/>
        <v>0</v>
      </c>
      <c r="M11" s="202"/>
      <c r="N11" s="232">
        <f ca="1">IFERROR(C11/SectorSum2020!C11-1,0)</f>
        <v>0.10399008553771383</v>
      </c>
      <c r="O11" s="202">
        <f ca="1">IFERROR(D11/SectorSum2020!D11-1,0)</f>
        <v>7.504529121418968E-2</v>
      </c>
      <c r="P11" s="202">
        <f ca="1">IFERROR(E11/SectorSum2020!E11-1,0)</f>
        <v>8.652282954033641E-2</v>
      </c>
      <c r="Q11" s="202">
        <f ca="1">IFERROR(F11/SectorSum2020!F11-1,0)</f>
        <v>8.2594806245626096E-2</v>
      </c>
      <c r="R11" s="225">
        <f ca="1">IFERROR(G11/SectorSum2020!G11-1,0)</f>
        <v>0</v>
      </c>
      <c r="S11" s="202"/>
    </row>
    <row r="12" spans="1:59" x14ac:dyDescent="0.25">
      <c r="A12" s="1"/>
      <c r="B12" s="214" t="s">
        <v>271</v>
      </c>
      <c r="C12" s="215" cm="1">
        <f t="array" aca="1" ref="C12" ca="1">INDIRECT("'"&amp;$A$1&amp;"NRARSummary'!G9")-INDIRECT("'"&amp;$A$1&amp;"NRARSummary'!G8")</f>
        <v>0.10472443350744667</v>
      </c>
      <c r="D12" s="215" cm="1">
        <f t="array" aca="1" ref="D12" ca="1">INDIRECT("'"&amp;$A$1&amp;"NRARSummary'!H9")-INDIRECT("'"&amp;$A$1&amp;"NRARSummary'!H8")</f>
        <v>0.88490878071921775</v>
      </c>
      <c r="E12" s="215" cm="1">
        <f t="array" aca="1" ref="E12" ca="1">INDIRECT("'"&amp;$A$1&amp;"NRARSummary'!I9")-INDIRECT("'"&amp;$A$1&amp;"NRARSummary'!I8")</f>
        <v>2.9283156852013548E-3</v>
      </c>
      <c r="F12" s="215" cm="1">
        <f t="array" aca="1" ref="F12" ca="1">INDIRECT("'"&amp;$A$1&amp;"NRARSummary'!J9")-INDIRECT("'"&amp;$A$1&amp;"NRARSummary'!J8")</f>
        <v>2.7453059900167305</v>
      </c>
      <c r="G12" s="216" cm="1">
        <f t="array" aca="1" ref="G12" ca="1">INDIRECT("'"&amp;$A$1&amp;"NRARSummary'!K9")-INDIRECT("'"&amp;$A$1&amp;"NRARSummary'!K8")</f>
        <v>2.2994584282441865E-3</v>
      </c>
      <c r="H12" s="217">
        <f t="shared" ca="1" si="0"/>
        <v>4.757364157437334E-2</v>
      </c>
      <c r="I12" s="217">
        <f t="shared" ca="1" si="1"/>
        <v>4.2150838386757615E-2</v>
      </c>
      <c r="J12" s="217">
        <f t="shared" ca="1" si="2"/>
        <v>1.5287002543346872E-4</v>
      </c>
      <c r="K12" s="217">
        <f t="shared" ca="1" si="3"/>
        <v>0.1760529215427328</v>
      </c>
      <c r="L12" s="218">
        <f t="shared" ca="1" si="4"/>
        <v>6.6534023432775549E-3</v>
      </c>
      <c r="M12" s="202"/>
      <c r="N12" s="233">
        <f ca="1">IFERROR(C12/SectorSum2020!C12-1,0)</f>
        <v>-0.14448110464484987</v>
      </c>
      <c r="O12" s="226">
        <f ca="1">IFERROR(D12/SectorSum2020!D12-1,0)</f>
        <v>4.7550838527782524E-2</v>
      </c>
      <c r="P12" s="226">
        <f ca="1">IFERROR(E12/SectorSum2020!E12-1,0)</f>
        <v>0</v>
      </c>
      <c r="Q12" s="226">
        <f ca="1">IFERROR(F12/SectorSum2020!F12-1,0)</f>
        <v>-0.17409810782879775</v>
      </c>
      <c r="R12" s="227">
        <f ca="1">IFERROR(G12/SectorSum2020!G12-1,0)</f>
        <v>1.3251366594463798E-2</v>
      </c>
      <c r="S12" s="202"/>
    </row>
    <row r="13" spans="1:59" x14ac:dyDescent="0.25">
      <c r="A13" s="1"/>
      <c r="B13" s="219" t="s">
        <v>10</v>
      </c>
      <c r="C13" s="250">
        <f ca="1">SUM(C3:C4,C9:C12)</f>
        <v>2.2013121140564307</v>
      </c>
      <c r="D13" s="250">
        <f ca="1">SUM(D3:D4,D9:D12)</f>
        <v>20.993859543188268</v>
      </c>
      <c r="E13" s="250">
        <f ca="1">SUM(E3:E4,E9:E12)</f>
        <v>19.155591012024793</v>
      </c>
      <c r="F13" s="250">
        <f ca="1">SUM(F3:F4,F9:F12)</f>
        <v>15.593640627828892</v>
      </c>
      <c r="G13" s="251">
        <f ca="1">SUM(G3:G4,G9:G12)</f>
        <v>0.34560639949386296</v>
      </c>
      <c r="H13" s="222">
        <f t="shared" ca="1" si="0"/>
        <v>1</v>
      </c>
      <c r="I13" s="222">
        <f t="shared" ca="1" si="1"/>
        <v>1</v>
      </c>
      <c r="J13" s="222">
        <f t="shared" ca="1" si="2"/>
        <v>1</v>
      </c>
      <c r="K13" s="222">
        <f t="shared" ca="1" si="3"/>
        <v>1</v>
      </c>
      <c r="L13" s="223">
        <f t="shared" ca="1" si="4"/>
        <v>1</v>
      </c>
      <c r="M13" s="202"/>
      <c r="N13" s="234">
        <f ca="1">IFERROR(C13/SectorSum2020!C13-1,0)</f>
        <v>-0.3378185777928604</v>
      </c>
      <c r="O13" s="228">
        <f ca="1">IFERROR(D13/SectorSum2020!D13-1,0)</f>
        <v>3.080879524396174E-2</v>
      </c>
      <c r="P13" s="228">
        <f ca="1">IFERROR(E13/SectorSum2020!E13-1,0)</f>
        <v>-1.9216448134477759E-2</v>
      </c>
      <c r="Q13" s="228">
        <f ca="1">IFERROR(F13/SectorSum2020!F13-1,0)</f>
        <v>4.191960726235977E-2</v>
      </c>
      <c r="R13" s="229">
        <f ca="1">IFERROR(G13/SectorSum2020!G13-1,0)</f>
        <v>7.8598224102921721E-2</v>
      </c>
      <c r="S13" s="202"/>
    </row>
    <row r="14" spans="1:59" x14ac:dyDescent="0.25">
      <c r="A14" s="1"/>
      <c r="B14" s="201"/>
      <c r="C14" s="201"/>
      <c r="D14" s="201"/>
      <c r="E14" s="201"/>
      <c r="F14" s="201"/>
      <c r="G14" s="201"/>
      <c r="H14" s="201"/>
      <c r="I14" s="201"/>
      <c r="J14" s="201"/>
      <c r="K14" s="201"/>
      <c r="L14" s="201"/>
      <c r="M14" s="202"/>
      <c r="N14" s="201"/>
      <c r="O14" s="201"/>
      <c r="P14" s="201"/>
      <c r="Q14" s="201"/>
      <c r="R14" s="201"/>
      <c r="S14" s="202"/>
    </row>
    <row r="15" spans="1:59" x14ac:dyDescent="0.25">
      <c r="B15" s="201"/>
      <c r="C15" s="201"/>
      <c r="D15" s="201"/>
      <c r="E15" s="201"/>
      <c r="F15" s="201"/>
      <c r="G15" s="201"/>
      <c r="H15" s="201"/>
      <c r="I15" s="201"/>
      <c r="J15" s="201"/>
      <c r="K15" s="201"/>
      <c r="L15" s="201"/>
      <c r="M15" s="202"/>
      <c r="N15" s="201"/>
      <c r="O15" s="201"/>
      <c r="P15" s="201"/>
      <c r="Q15" s="201"/>
      <c r="R15" s="201"/>
      <c r="S15" s="202"/>
    </row>
    <row r="16" spans="1:59" x14ac:dyDescent="0.25">
      <c r="B16" s="201"/>
      <c r="C16" s="274" t="s">
        <v>268</v>
      </c>
      <c r="D16" s="274"/>
      <c r="E16" s="274"/>
      <c r="F16" s="274"/>
      <c r="G16" s="274"/>
      <c r="H16" s="274" t="s">
        <v>262</v>
      </c>
      <c r="I16" s="274"/>
      <c r="J16" s="274"/>
      <c r="K16" s="274"/>
      <c r="L16" s="274"/>
      <c r="M16" s="202"/>
      <c r="N16" s="274" t="s">
        <v>276</v>
      </c>
      <c r="O16" s="274"/>
      <c r="P16" s="274"/>
      <c r="Q16" s="274"/>
      <c r="R16" s="274"/>
      <c r="S16" s="202"/>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c r="BE16" s="260"/>
      <c r="BF16" s="260"/>
      <c r="BG16" s="260"/>
    </row>
    <row r="17" spans="1:19" x14ac:dyDescent="0.25">
      <c r="B17" s="203" t="s">
        <v>1</v>
      </c>
      <c r="C17" s="204" t="s">
        <v>2</v>
      </c>
      <c r="D17" s="204" t="s">
        <v>3</v>
      </c>
      <c r="E17" s="204" t="s">
        <v>4</v>
      </c>
      <c r="F17" s="204" t="s">
        <v>5</v>
      </c>
      <c r="G17" s="205" t="s">
        <v>6</v>
      </c>
      <c r="H17" s="204" t="s">
        <v>2</v>
      </c>
      <c r="I17" s="204" t="s">
        <v>3</v>
      </c>
      <c r="J17" s="204" t="s">
        <v>4</v>
      </c>
      <c r="K17" s="204" t="s">
        <v>5</v>
      </c>
      <c r="L17" s="205" t="s">
        <v>6</v>
      </c>
      <c r="M17" s="202"/>
      <c r="N17" s="230" t="s">
        <v>2</v>
      </c>
      <c r="O17" s="204" t="s">
        <v>3</v>
      </c>
      <c r="P17" s="204" t="s">
        <v>4</v>
      </c>
      <c r="Q17" s="204" t="s">
        <v>5</v>
      </c>
      <c r="R17" s="205" t="s">
        <v>6</v>
      </c>
      <c r="S17" s="202"/>
    </row>
    <row r="18" spans="1:19" x14ac:dyDescent="0.25">
      <c r="B18" s="206" t="s">
        <v>7</v>
      </c>
      <c r="C18" s="207">
        <f ca="1">C3</f>
        <v>0.62414762075740604</v>
      </c>
      <c r="D18" s="207">
        <f t="shared" ref="D18:G18" ca="1" si="5">D3</f>
        <v>14.596496282213964</v>
      </c>
      <c r="E18" s="207">
        <f t="shared" ca="1" si="5"/>
        <v>7.1450494665423605</v>
      </c>
      <c r="F18" s="207">
        <f t="shared" ca="1" si="5"/>
        <v>4.1308975417953558E-2</v>
      </c>
      <c r="G18" s="208">
        <f t="shared" ca="1" si="5"/>
        <v>9.5302582793534513E-2</v>
      </c>
      <c r="H18" s="209">
        <f t="shared" ref="H18:H28" ca="1" si="6">C18/C$28</f>
        <v>0.35832096196165603</v>
      </c>
      <c r="I18" s="210">
        <f t="shared" ref="I18:I28" ca="1" si="7">D18/D$28</f>
        <v>0.77859343765564759</v>
      </c>
      <c r="J18" s="210">
        <f t="shared" ref="J18:J28" ca="1" si="8">E18/E$28</f>
        <v>0.48092912110316216</v>
      </c>
      <c r="K18" s="210">
        <f t="shared" ref="K18:K28" ca="1" si="9">F18/F$28</f>
        <v>2.9815269196754837E-3</v>
      </c>
      <c r="L18" s="211">
        <f t="shared" ref="L18:L28" ca="1" si="10">G18/G$28</f>
        <v>0.30759819050046078</v>
      </c>
      <c r="M18" s="202"/>
      <c r="N18" s="232">
        <f ca="1">IFERROR(C18/SectorSum2020!C18-1,0)</f>
        <v>7.8190523333866002E-2</v>
      </c>
      <c r="O18" s="202">
        <f ca="1">IFERROR(D18/SectorSum2020!D18-1,0)</f>
        <v>7.8190523333863116E-2</v>
      </c>
      <c r="P18" s="202">
        <f ca="1">IFERROR(E18/SectorSum2020!E18-1,0)</f>
        <v>7.8190523333864448E-2</v>
      </c>
      <c r="Q18" s="202">
        <f ca="1">IFERROR(F18/SectorSum2020!F18-1,0)</f>
        <v>7.8190523333863116E-2</v>
      </c>
      <c r="R18" s="225">
        <f ca="1">IFERROR(G18/SectorSum2020!G18-1,0)</f>
        <v>7.8190523333862005E-2</v>
      </c>
      <c r="S18" s="202"/>
    </row>
    <row r="19" spans="1:19" x14ac:dyDescent="0.25">
      <c r="B19" s="206" t="s">
        <v>263</v>
      </c>
      <c r="C19" s="207">
        <f ca="1">OFFSET('Emis-Rev5Pct'!$B$7,0,MATCH($A$1,'Emis-Rev5Pct'!$C$5:$L$5,0))</f>
        <v>0.7389</v>
      </c>
      <c r="D19" s="207">
        <f ca="1">OFFSET('Emis-Rev5Pct'!$B$45,0,MATCH($A$1,'Emis-Rev5Pct'!$C$5:$L$5,0))</f>
        <v>2.3369</v>
      </c>
      <c r="E19" s="207">
        <f ca="1">OFFSET('Emis-Rev5Pct'!$B$25,0,MATCH($A$1,'Emis-Rev5Pct'!$C$5:$L$5,0))</f>
        <v>1.9803999999999999</v>
      </c>
      <c r="F19" s="207">
        <f ca="1">OFFSET('Emis-Rev5Pct'!$B$57,0,MATCH($A$1,'Emis-Rev5Pct'!$C$5:$L$5,0))</f>
        <v>8.0131999999999994</v>
      </c>
      <c r="G19" s="208">
        <f ca="1">OFFSET('Emis-Rev5Pct'!$B$69,0,MATCH($A$1,'Emis-Rev5Pct'!$C$5:$L$5,0))</f>
        <v>0.1235</v>
      </c>
      <c r="H19" s="210">
        <f t="shared" ca="1" si="6"/>
        <v>0.42419990077375619</v>
      </c>
      <c r="I19" s="210">
        <f t="shared" ca="1" si="7"/>
        <v>0.1246528597876302</v>
      </c>
      <c r="J19" s="210">
        <f t="shared" ca="1" si="8"/>
        <v>0.1332995713875168</v>
      </c>
      <c r="K19" s="210">
        <f t="shared" ca="1" si="9"/>
        <v>0.57836272313740122</v>
      </c>
      <c r="L19" s="211">
        <f t="shared" ca="1" si="10"/>
        <v>0.39860804831602215</v>
      </c>
      <c r="M19" s="202"/>
      <c r="N19" s="232">
        <f ca="1">IFERROR(C19/SectorSum2020!C19-1,0)</f>
        <v>-0.62572742865694142</v>
      </c>
      <c r="O19" s="202">
        <f ca="1">IFERROR(D19/SectorSum2020!D19-1,0)</f>
        <v>7.8303802141011625E-2</v>
      </c>
      <c r="P19" s="202">
        <f ca="1">IFERROR(E19/SectorSum2020!E19-1,0)</f>
        <v>-0.45076431244028725</v>
      </c>
      <c r="Q19" s="202">
        <f ca="1">IFERROR(F19/SectorSum2020!F19-1,0)</f>
        <v>0.20256925893687905</v>
      </c>
      <c r="R19" s="225">
        <f ca="1">IFERROR(G19/SectorSum2020!G19-1,0)</f>
        <v>0.13406795224977053</v>
      </c>
      <c r="S19" s="202"/>
    </row>
    <row r="20" spans="1:19" x14ac:dyDescent="0.25">
      <c r="B20" s="212" t="s">
        <v>264</v>
      </c>
      <c r="C20" s="207" cm="1">
        <f t="array" aca="1" ref="C20" ca="1">C$19*INDIRECT("TabSpHt"&amp;$A$1&amp;"!M89")</f>
        <v>0.7</v>
      </c>
      <c r="D20" s="207" cm="1">
        <f t="array" aca="1" ref="D20" ca="1">D$19*INDIRECT("TabSpHt"&amp;$A$1&amp;"!K89")</f>
        <v>0.28460000000000002</v>
      </c>
      <c r="E20" s="207" cm="1">
        <f t="array" aca="1" ref="E20" ca="1">E$19*INDIRECT("TabSpHt"&amp;$A$1&amp;"!N89")</f>
        <v>4.48E-2</v>
      </c>
      <c r="F20" s="207" cm="1">
        <f t="array" aca="1" ref="F20" ca="1">F$19*INDIRECT("TabSpHt"&amp;$A$1&amp;"!O89")</f>
        <v>7.8959000000000001</v>
      </c>
      <c r="G20" s="208" cm="1">
        <f t="array" aca="1" ref="G20" ca="1">G$19*INDIRECT("TabSpHt"&amp;$A$1&amp;"!J89")</f>
        <v>8.1100000000000005E-2</v>
      </c>
      <c r="H20" s="210">
        <f t="shared" ca="1" si="6"/>
        <v>0.40186754708570754</v>
      </c>
      <c r="I20" s="210">
        <f t="shared" ca="1" si="7"/>
        <v>1.5180882320835105E-2</v>
      </c>
      <c r="J20" s="210">
        <f t="shared" ca="1" si="8"/>
        <v>3.0154619259547331E-3</v>
      </c>
      <c r="K20" s="210">
        <f t="shared" ca="1" si="9"/>
        <v>0.56989644906162407</v>
      </c>
      <c r="L20" s="211">
        <f t="shared" ca="1" si="10"/>
        <v>0.26175799772007613</v>
      </c>
      <c r="M20" s="202"/>
      <c r="N20" s="232">
        <f ca="1">IFERROR(C20/SectorSum2020!C20-1,0)</f>
        <v>-0.63006011813693852</v>
      </c>
      <c r="O20" s="202">
        <f ca="1">IFERROR(D20/SectorSum2020!D20-1,0)</f>
        <v>0.23096885813148793</v>
      </c>
      <c r="P20" s="202">
        <f ca="1">IFERROR(E20/SectorSum2020!E20-1,0)</f>
        <v>0.12977906977715392</v>
      </c>
      <c r="Q20" s="202">
        <f ca="1">IFERROR(F20/SectorSum2020!F20-1,0)</f>
        <v>0.20502098435711602</v>
      </c>
      <c r="R20" s="225">
        <f ca="1">IFERROR(G20/SectorSum2020!G20-1,0)</f>
        <v>0.21589205397301314</v>
      </c>
      <c r="S20" s="202"/>
    </row>
    <row r="21" spans="1:19" x14ac:dyDescent="0.25">
      <c r="B21" s="212" t="s">
        <v>265</v>
      </c>
      <c r="C21" s="207" cm="1">
        <f t="array" aca="1" ref="C21" ca="1">C$19*INDIRECT("TabSpHt"&amp;$A$1&amp;"!M90")</f>
        <v>2.1999999999999999E-2</v>
      </c>
      <c r="D21" s="207" cm="1">
        <f t="array" aca="1" ref="D21" ca="1">D$19*INDIRECT("TabSpHt"&amp;$A$1&amp;"!K90")</f>
        <v>1.8331999999999999</v>
      </c>
      <c r="E21" s="207" cm="1">
        <f t="array" aca="1" ref="E21" ca="1">E$19*INDIRECT("TabSpHt"&amp;$A$1&amp;"!N90")</f>
        <v>1.9146000000000001</v>
      </c>
      <c r="F21" s="207" cm="1">
        <f t="array" aca="1" ref="F21" ca="1">F$19*INDIRECT("TabSpHt"&amp;$A$1&amp;"!O90")</f>
        <v>0.1036</v>
      </c>
      <c r="G21" s="208" cm="1">
        <f t="array" aca="1" ref="G21" ca="1">G$19*INDIRECT("TabSpHt"&amp;$A$1&amp;"!J90")</f>
        <v>3.5000000000000001E-3</v>
      </c>
      <c r="H21" s="210">
        <f t="shared" ca="1" si="6"/>
        <v>1.2630122908407952E-2</v>
      </c>
      <c r="I21" s="210">
        <f t="shared" ca="1" si="7"/>
        <v>9.7784938406728431E-2</v>
      </c>
      <c r="J21" s="210">
        <f t="shared" ca="1" si="8"/>
        <v>0.12887061168377081</v>
      </c>
      <c r="K21" s="210">
        <f t="shared" ca="1" si="9"/>
        <v>7.4774594565260779E-3</v>
      </c>
      <c r="L21" s="211">
        <f t="shared" ca="1" si="10"/>
        <v>1.1296584365231397E-2</v>
      </c>
      <c r="M21" s="202"/>
      <c r="N21" s="232">
        <f ca="1">IFERROR(C21/SectorSum2020!C21-1,0)</f>
        <v>-0.65345769167866519</v>
      </c>
      <c r="O21" s="202">
        <f ca="1">IFERROR(D21/SectorSum2020!D21-1,0)</f>
        <v>6.7614000349426329E-2</v>
      </c>
      <c r="P21" s="202">
        <f ca="1">IFERROR(E21/SectorSum2020!E21-1,0)</f>
        <v>-0.45979959805370929</v>
      </c>
      <c r="Q21" s="202">
        <f ca="1">IFERROR(F21/SectorSum2020!F21-1,0)</f>
        <v>6.2564102564102608E-2</v>
      </c>
      <c r="R21" s="225">
        <f ca="1">IFERROR(G21/SectorSum2020!G21-1,0)</f>
        <v>2.9411764705882248E-2</v>
      </c>
      <c r="S21" s="202"/>
    </row>
    <row r="22" spans="1:19" x14ac:dyDescent="0.25">
      <c r="B22" s="212" t="s">
        <v>266</v>
      </c>
      <c r="C22" s="207" cm="1">
        <f t="array" aca="1" ref="C22" ca="1">C$19*INDIRECT("TabSpHt"&amp;$A$1&amp;"!M91")</f>
        <v>8.0000000000000004E-4</v>
      </c>
      <c r="D22" s="207" cm="1">
        <f t="array" aca="1" ref="D22" ca="1">D$19*INDIRECT("TabSpHt"&amp;$A$1&amp;"!K91")</f>
        <v>1.2000000000000001E-3</v>
      </c>
      <c r="E22" s="207" cm="1">
        <f t="array" aca="1" ref="E22" ca="1">E$19*INDIRECT("TabSpHt"&amp;$A$1&amp;"!N91")</f>
        <v>1.2999999999999999E-3</v>
      </c>
      <c r="F22" s="207" cm="1">
        <f t="array" aca="1" ref="F22" ca="1">F$19*INDIRECT("TabSpHt"&amp;$A$1&amp;"!O91")</f>
        <v>2.5000000000000001E-3</v>
      </c>
      <c r="G22" s="208" cm="1">
        <f t="array" aca="1" ref="G22" ca="1">G$19*INDIRECT("TabSpHt"&amp;$A$1&amp;"!J91")</f>
        <v>2.9999999999999997E-4</v>
      </c>
      <c r="H22" s="210">
        <f t="shared" ca="1" si="6"/>
        <v>4.5927719666938012E-4</v>
      </c>
      <c r="I22" s="210">
        <f t="shared" ca="1" si="7"/>
        <v>6.4009342182017316E-5</v>
      </c>
      <c r="J22" s="210">
        <f t="shared" ca="1" si="8"/>
        <v>8.7502243387079306E-5</v>
      </c>
      <c r="K22" s="210">
        <f t="shared" ca="1" si="9"/>
        <v>1.8044062395091887E-4</v>
      </c>
      <c r="L22" s="211">
        <f t="shared" ca="1" si="10"/>
        <v>9.6827865987697689E-4</v>
      </c>
      <c r="M22" s="202"/>
      <c r="N22" s="232">
        <f ca="1">IFERROR(C22/SectorSum2020!C22-1,0)</f>
        <v>-0.6074620762105607</v>
      </c>
      <c r="O22" s="202">
        <f ca="1">IFERROR(D22/SectorSum2020!D22-1,0)</f>
        <v>0</v>
      </c>
      <c r="P22" s="202">
        <f ca="1">IFERROR(E22/SectorSum2020!E22-1,0)</f>
        <v>-0.39946098350623893</v>
      </c>
      <c r="Q22" s="202">
        <f ca="1">IFERROR(F22/SectorSum2020!F22-1,0)</f>
        <v>8.6956521739130377E-2</v>
      </c>
      <c r="R22" s="225">
        <f ca="1">IFERROR(G22/SectorSum2020!G22-1,0)</f>
        <v>0</v>
      </c>
      <c r="S22" s="202"/>
    </row>
    <row r="23" spans="1:19" x14ac:dyDescent="0.25">
      <c r="B23" s="212" t="s">
        <v>267</v>
      </c>
      <c r="C23" s="207" cm="1">
        <f t="array" aca="1" ref="C23" ca="1">C$19*INDIRECT("TabSpHt"&amp;$A$1&amp;"!M92")</f>
        <v>1.6199999999999999E-2</v>
      </c>
      <c r="D23" s="207" cm="1">
        <f t="array" aca="1" ref="D23" ca="1">D$19*INDIRECT("TabSpHt"&amp;$A$1&amp;"!K92")</f>
        <v>0.21780000000000002</v>
      </c>
      <c r="E23" s="207" cm="1">
        <f t="array" aca="1" ref="E23" ca="1">E$19*INDIRECT("TabSpHt"&amp;$A$1&amp;"!N92")</f>
        <v>1.9699999999999999E-2</v>
      </c>
      <c r="F23" s="207" cm="1">
        <f t="array" aca="1" ref="F23" ca="1">F$19*INDIRECT("TabSpHt"&amp;$A$1&amp;"!O92")</f>
        <v>1.11E-2</v>
      </c>
      <c r="G23" s="208" cm="1">
        <f t="array" aca="1" ref="G23" ca="1">G$19*INDIRECT("TabSpHt"&amp;$A$1&amp;"!J92")</f>
        <v>3.85E-2</v>
      </c>
      <c r="H23" s="210">
        <f t="shared" ca="1" si="6"/>
        <v>9.3003632325549465E-3</v>
      </c>
      <c r="I23" s="210">
        <f t="shared" ca="1" si="7"/>
        <v>1.1617695606036142E-2</v>
      </c>
      <c r="J23" s="210">
        <f t="shared" ca="1" si="8"/>
        <v>1.3259955344042016E-3</v>
      </c>
      <c r="K23" s="210">
        <f t="shared" ca="1" si="9"/>
        <v>8.0115637034207984E-4</v>
      </c>
      <c r="L23" s="211">
        <f t="shared" ca="1" si="10"/>
        <v>0.12426242801754538</v>
      </c>
      <c r="M23" s="202"/>
      <c r="N23" s="232">
        <f ca="1">IFERROR(C23/SectorSum2020!C23-1,0)</f>
        <v>-2.4675710829920594E-2</v>
      </c>
      <c r="O23" s="202">
        <f ca="1">IFERROR(D23/SectorSum2020!D23-1,0)</f>
        <v>0</v>
      </c>
      <c r="P23" s="202">
        <f ca="1">IFERROR(E23/SectorSum2020!E23-1,0)</f>
        <v>1.1163985036503732E-2</v>
      </c>
      <c r="Q23" s="202">
        <f ca="1">IFERROR(F23/SectorSum2020!F23-1,0)</f>
        <v>0</v>
      </c>
      <c r="R23" s="225">
        <f ca="1">IFERROR(G23/SectorSum2020!G23-1,0)</f>
        <v>0</v>
      </c>
      <c r="S23" s="202"/>
    </row>
    <row r="24" spans="1:19" x14ac:dyDescent="0.25">
      <c r="B24" s="206" t="s">
        <v>8</v>
      </c>
      <c r="C24" s="207" cm="1">
        <f t="array" aca="1" ref="C24" ca="1">INDIRECT("'"&amp;$A$1&amp;"NRARSummary'!B5")</f>
        <v>0.12551150359422081</v>
      </c>
      <c r="D24" s="207" cm="1">
        <f t="array" aca="1" ref="D24" ca="1">INDIRECT("'"&amp;$A$1&amp;"NRARSummary'!C5")</f>
        <v>0.39703923487485926</v>
      </c>
      <c r="E24" s="207" cm="1">
        <f t="array" aca="1" ref="E24" ca="1">INDIRECT("'"&amp;$A$1&amp;"NRARSummary'!D5")</f>
        <v>3.1311272323311642E-2</v>
      </c>
      <c r="F24" s="207" cm="1">
        <f t="array" aca="1" ref="F24" ca="1">INDIRECT("'"&amp;$A$1&amp;"NRARSummary'!E5")</f>
        <v>2.3318021797360875</v>
      </c>
      <c r="G24" s="208" cm="1">
        <f t="array" aca="1" ref="G24" ca="1">INDIRECT("'"&amp;$A$1&amp;"NRARSummary'!F5")</f>
        <v>5.1452325012667263E-2</v>
      </c>
      <c r="H24" s="210">
        <f t="shared" ca="1" si="6"/>
        <v>7.2055714400640694E-2</v>
      </c>
      <c r="I24" s="210">
        <f t="shared" ca="1" si="7"/>
        <v>2.1178516870659338E-2</v>
      </c>
      <c r="J24" s="210">
        <f t="shared" ca="1" si="8"/>
        <v>2.1075435166104119E-3</v>
      </c>
      <c r="K24" s="210">
        <f t="shared" ca="1" si="9"/>
        <v>0.16830073609667692</v>
      </c>
      <c r="L24" s="211">
        <f t="shared" ca="1" si="10"/>
        <v>0.1660672943694004</v>
      </c>
      <c r="M24" s="202"/>
      <c r="N24" s="232">
        <f ca="1">IFERROR(C24/SectorSum2020!C24-1,0)</f>
        <v>0.10005390311568707</v>
      </c>
      <c r="O24" s="202">
        <f ca="1">IFERROR(D24/SectorSum2020!D24-1,0)</f>
        <v>0.10005390311568685</v>
      </c>
      <c r="P24" s="202">
        <f ca="1">IFERROR(E24/SectorSum2020!E24-1,0)</f>
        <v>0.10005390311568707</v>
      </c>
      <c r="Q24" s="202">
        <f ca="1">IFERROR(F24/SectorSum2020!F24-1,0)</f>
        <v>0.10005390311568663</v>
      </c>
      <c r="R24" s="225">
        <f ca="1">IFERROR(G24/SectorSum2020!G24-1,0)</f>
        <v>0.10005390311568729</v>
      </c>
      <c r="S24" s="202"/>
    </row>
    <row r="25" spans="1:19" x14ac:dyDescent="0.25">
      <c r="A25" s="2"/>
      <c r="B25" s="206" t="s">
        <v>269</v>
      </c>
      <c r="C25" s="207">
        <f ca="1">OFFSET(OnRoad!$B$6,MATCH($A$1,OnRoad!$A$7:$A$17,0),MATCH(C17,OnRoad!$C$6:$I$6,0))</f>
        <v>5.1612391272158692E-2</v>
      </c>
      <c r="D25" s="207">
        <f ca="1">OFFSET(OnRoad!$B$6,MATCH($A$1,OnRoad!$A$7:$A$17,0),MATCH(D17,OnRoad!$C$6:$I$6,0))</f>
        <v>0.64798078877541943</v>
      </c>
      <c r="E25" s="207">
        <f ca="1">OFFSET(OnRoad!$B$6,MATCH($A$1,OnRoad!$A$7:$A$17,0),MATCH(E17,OnRoad!$C$6:$I$6,0))</f>
        <v>2.5017007089312964E-3</v>
      </c>
      <c r="F25" s="207">
        <f ca="1">OFFSET(OnRoad!$B$6,MATCH($A$1,OnRoad!$A$7:$A$17,0),MATCH(F17,OnRoad!$C$6:$I$6,0))</f>
        <v>1.084811021296016</v>
      </c>
      <c r="G25" s="208">
        <f ca="1">OFFSET(OnRoad!$B$6,MATCH($A$1,OnRoad!$A$7:$A$17,0),MATCH(G17,OnRoad!$C$6:$I$6,0))</f>
        <v>3.804129679267361E-2</v>
      </c>
      <c r="H25" s="210">
        <f t="shared" ca="1" si="6"/>
        <v>2.9630492971100278E-2</v>
      </c>
      <c r="I25" s="210">
        <f t="shared" ca="1" si="7"/>
        <v>3.456402003008275E-2</v>
      </c>
      <c r="J25" s="210">
        <f t="shared" ca="1" si="8"/>
        <v>1.6838801870348857E-4</v>
      </c>
      <c r="K25" s="210">
        <f t="shared" ca="1" si="9"/>
        <v>7.8297591020594665E-2</v>
      </c>
      <c r="L25" s="211">
        <f t="shared" ca="1" si="10"/>
        <v>0.12278191959464115</v>
      </c>
      <c r="M25" s="202"/>
      <c r="N25" s="232">
        <f ca="1">IFERROR(C25/SectorSum2020!C25-1,0)</f>
        <v>-0.30134803722366454</v>
      </c>
      <c r="O25" s="202">
        <f ca="1">IFERROR(D25/SectorSum2020!D25-1,0)</f>
        <v>-0.44904986758130072</v>
      </c>
      <c r="P25" s="202">
        <f ca="1">IFERROR(E25/SectorSum2020!E25-1,0)</f>
        <v>-8.8756114488235283E-2</v>
      </c>
      <c r="Q25" s="202">
        <f ca="1">IFERROR(F25/SectorSum2020!F25-1,0)</f>
        <v>-0.23826174933446076</v>
      </c>
      <c r="R25" s="225">
        <f ca="1">IFERROR(G25/SectorSum2020!G25-1,0)</f>
        <v>-4.3138738061021642E-2</v>
      </c>
      <c r="S25" s="202"/>
    </row>
    <row r="26" spans="1:19" x14ac:dyDescent="0.25">
      <c r="A26" s="2"/>
      <c r="B26" s="206" t="s">
        <v>270</v>
      </c>
      <c r="C26" s="207" cm="1">
        <f t="array" aca="1" ref="C26" ca="1">INDIRECT("'"&amp;$A$1&amp;"NRARSummary'!B8")</f>
        <v>0.1247924994040174</v>
      </c>
      <c r="D26" s="207" cm="1">
        <f t="array" aca="1" ref="D26" ca="1">INDIRECT("'"&amp;$A$1&amp;"NRARSummary'!C8")</f>
        <v>0.44836470124966848</v>
      </c>
      <c r="E26" s="207" cm="1">
        <f t="array" aca="1" ref="E26" ca="1">INDIRECT("'"&amp;$A$1&amp;"NRARSummary'!D8")</f>
        <v>5.6952269924118308</v>
      </c>
      <c r="F26" s="207" cm="1">
        <f t="array" aca="1" ref="F26" ca="1">INDIRECT("'"&amp;$A$1&amp;"NRARSummary'!E8")</f>
        <v>0.16601132356379883</v>
      </c>
      <c r="G26" s="208" cm="1">
        <f t="array" aca="1" ref="G26" ca="1">INDIRECT("'"&amp;$A$1&amp;"NRARSummary'!F8")</f>
        <v>0</v>
      </c>
      <c r="H26" s="210">
        <f t="shared" ca="1" si="6"/>
        <v>7.1642936614552996E-2</v>
      </c>
      <c r="I26" s="210">
        <f t="shared" ca="1" si="7"/>
        <v>2.3916274653856661E-2</v>
      </c>
      <c r="J26" s="210">
        <f t="shared" ca="1" si="8"/>
        <v>0.38334241418052589</v>
      </c>
      <c r="K26" s="210">
        <f t="shared" ca="1" si="9"/>
        <v>1.1982074722707896E-2</v>
      </c>
      <c r="L26" s="211">
        <f t="shared" ca="1" si="10"/>
        <v>0</v>
      </c>
      <c r="M26" s="202"/>
      <c r="N26" s="232">
        <f ca="1">IFERROR(C26/SectorSum2020!C26-1,0)</f>
        <v>5.1746670214997792E-2</v>
      </c>
      <c r="O26" s="202">
        <f ca="1">IFERROR(D26/SectorSum2020!D26-1,0)</f>
        <v>3.4307094311776476E-2</v>
      </c>
      <c r="P26" s="202">
        <f ca="1">IFERROR(E26/SectorSum2020!E26-1,0)</f>
        <v>4.6721029052193996E-2</v>
      </c>
      <c r="Q26" s="202">
        <f ca="1">IFERROR(F26/SectorSum2020!F26-1,0)</f>
        <v>7.1983182072498986E-2</v>
      </c>
      <c r="R26" s="225">
        <f ca="1">IFERROR(G26/SectorSum2020!G26-1,0)</f>
        <v>0</v>
      </c>
      <c r="S26" s="202"/>
    </row>
    <row r="27" spans="1:19" x14ac:dyDescent="0.25">
      <c r="B27" s="214" t="s">
        <v>271</v>
      </c>
      <c r="C27" s="215" cm="1">
        <f t="array" aca="1" ref="C27" ca="1">INDIRECT("'"&amp;$A$1&amp;"NRARSummary'!B9")-INDIRECT("'"&amp;$A$1&amp;"NRARSummary'!B8")</f>
        <v>7.6903436266314074E-2</v>
      </c>
      <c r="D27" s="215" cm="1">
        <f t="array" aca="1" ref="D27" ca="1">INDIRECT("'"&amp;$A$1&amp;"NRARSummary'!C9")-INDIRECT("'"&amp;$A$1&amp;"NRARSummary'!C8")</f>
        <v>0.32048242495938567</v>
      </c>
      <c r="E27" s="215" cm="1">
        <f t="array" aca="1" ref="E27" ca="1">INDIRECT("'"&amp;$A$1&amp;"NRARSummary'!D9")-INDIRECT("'"&amp;$A$1&amp;"NRARSummary'!D8")</f>
        <v>2.2725169530355416E-3</v>
      </c>
      <c r="F27" s="215" cm="1">
        <f t="array" aca="1" ref="F27" ca="1">INDIRECT("'"&amp;$A$1&amp;"NRARSummary'!E9")-INDIRECT("'"&amp;$A$1&amp;"NRARSummary'!E8")</f>
        <v>2.2178396499350055</v>
      </c>
      <c r="G27" s="216" cm="1">
        <f t="array" aca="1" ref="G27" ca="1">INDIRECT("'"&amp;$A$1&amp;"NRARSummary'!F9")-INDIRECT("'"&amp;$A$1&amp;"NRARSummary'!F8")</f>
        <v>1.5319599897318239E-3</v>
      </c>
      <c r="H27" s="217">
        <f t="shared" ca="1" si="6"/>
        <v>4.4149993278293831E-2</v>
      </c>
      <c r="I27" s="217">
        <f t="shared" ca="1" si="7"/>
        <v>1.7094891002123334E-2</v>
      </c>
      <c r="J27" s="217">
        <f t="shared" ca="1" si="8"/>
        <v>1.5296179348136909E-4</v>
      </c>
      <c r="K27" s="217">
        <f t="shared" ca="1" si="9"/>
        <v>0.16007534810294394</v>
      </c>
      <c r="L27" s="218">
        <f t="shared" ca="1" si="10"/>
        <v>4.9445472194755927E-3</v>
      </c>
      <c r="M27" s="202"/>
      <c r="N27" s="233">
        <f ca="1">IFERROR(C27/SectorSum2020!C27-1,0)</f>
        <v>-0.14477367713649381</v>
      </c>
      <c r="O27" s="226">
        <f ca="1">IFERROR(D27/SectorSum2020!D27-1,0)</f>
        <v>0.12309458372431226</v>
      </c>
      <c r="P27" s="226">
        <f ca="1">IFERROR(E27/SectorSum2020!E27-1,0)</f>
        <v>0</v>
      </c>
      <c r="Q27" s="226">
        <f ca="1">IFERROR(F27/SectorSum2020!F27-1,0)</f>
        <v>-0.16101650400873224</v>
      </c>
      <c r="R27" s="227">
        <f ca="1">IFERROR(G27/SectorSum2020!G27-1,0)</f>
        <v>3.2788026313964158E-2</v>
      </c>
      <c r="S27" s="202"/>
    </row>
    <row r="28" spans="1:19" x14ac:dyDescent="0.25">
      <c r="B28" s="219" t="s">
        <v>10</v>
      </c>
      <c r="C28" s="250">
        <f ca="1">SUM(C18:C19,C24:C27)</f>
        <v>1.741867451294117</v>
      </c>
      <c r="D28" s="250">
        <f ca="1">SUM(D18:D19,D24:D27)</f>
        <v>18.7472634320733</v>
      </c>
      <c r="E28" s="250">
        <f ca="1">SUM(E18:E19,E24:E27)</f>
        <v>14.856761948939468</v>
      </c>
      <c r="F28" s="250">
        <f ca="1">SUM(F18:F19,F24:F27)</f>
        <v>13.85497314994886</v>
      </c>
      <c r="G28" s="251">
        <f ca="1">SUM(G18:G19,G24:G27)</f>
        <v>0.30982816458860718</v>
      </c>
      <c r="H28" s="222">
        <f t="shared" ca="1" si="6"/>
        <v>1</v>
      </c>
      <c r="I28" s="222">
        <f t="shared" ca="1" si="7"/>
        <v>1</v>
      </c>
      <c r="J28" s="222">
        <f t="shared" ca="1" si="8"/>
        <v>1</v>
      </c>
      <c r="K28" s="222">
        <f t="shared" ca="1" si="9"/>
        <v>1</v>
      </c>
      <c r="L28" s="223">
        <f t="shared" ca="1" si="10"/>
        <v>1</v>
      </c>
      <c r="M28" s="202"/>
      <c r="N28" s="234">
        <f ca="1">IFERROR(C28/SectorSum2020!C28-1,0)</f>
        <v>-0.40946806888111753</v>
      </c>
      <c r="O28" s="228">
        <f ca="1">IFERROR(D28/SectorSum2020!D28-1,0)</f>
        <v>4.3773361132395605E-2</v>
      </c>
      <c r="P28" s="228">
        <f ca="1">IFERROR(E28/SectorSum2020!E28-1,0)</f>
        <v>-5.4138735739243993E-2</v>
      </c>
      <c r="Q28" s="228">
        <f ca="1">IFERROR(F28/SectorSum2020!F28-1,0)</f>
        <v>6.2180002429560455E-2</v>
      </c>
      <c r="R28" s="229">
        <f ca="1">IFERROR(G28/SectorSum2020!G28-1,0)</f>
        <v>8.596016204594803E-2</v>
      </c>
      <c r="S28" s="202"/>
    </row>
    <row r="29" spans="1:19" x14ac:dyDescent="0.25">
      <c r="M29" s="202"/>
      <c r="N29" s="202"/>
      <c r="O29" s="202"/>
      <c r="P29" s="202"/>
      <c r="Q29" s="202"/>
      <c r="R29" s="202"/>
      <c r="S29" s="202"/>
    </row>
    <row r="30" spans="1:19" x14ac:dyDescent="0.25">
      <c r="E30" s="213"/>
      <c r="M30" s="202"/>
      <c r="N30" s="202"/>
      <c r="O30" s="202"/>
      <c r="P30" s="202"/>
      <c r="Q30" s="202"/>
      <c r="R30" s="202"/>
      <c r="S30" s="202"/>
    </row>
    <row r="31" spans="1:19" x14ac:dyDescent="0.25">
      <c r="M31" s="202"/>
      <c r="N31" s="202"/>
      <c r="O31" s="202"/>
      <c r="P31" s="202"/>
      <c r="Q31" s="202"/>
      <c r="R31" s="202"/>
      <c r="S31" s="202"/>
    </row>
    <row r="32" spans="1:19" x14ac:dyDescent="0.25">
      <c r="M32" s="202"/>
      <c r="N32" s="202"/>
      <c r="O32" s="202"/>
      <c r="P32" s="202"/>
      <c r="Q32" s="202"/>
      <c r="R32" s="202"/>
      <c r="S32" s="202"/>
    </row>
  </sheetData>
  <sheetProtection algorithmName="SHA-512" hashValue="/uJQc53Q3f4EGD54CbX6aCpuvkkip00rAJsSmaxY46ZavIPm65m+cOwmvSXjLgbdHlMS0ChW4UsI7deAD9b8jQ==" saltValue="mSzxppbC5CmaRoU6j3zX5w==" spinCount="100000" sheet="1" objects="1" scenarios="1"/>
  <mergeCells count="11">
    <mergeCell ref="AJ16:AQ16"/>
    <mergeCell ref="AR16:AY16"/>
    <mergeCell ref="AZ16:BG16"/>
    <mergeCell ref="N1:R1"/>
    <mergeCell ref="N16:R16"/>
    <mergeCell ref="AB16:AI16"/>
    <mergeCell ref="C1:G1"/>
    <mergeCell ref="H1:L1"/>
    <mergeCell ref="C16:G16"/>
    <mergeCell ref="H16:L16"/>
    <mergeCell ref="T16:AA1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BE857-E13D-4D98-9AC0-9335CF519686}">
  <sheetPr codeName="Sheet7">
    <tabColor theme="8" tint="0.79998168889431442"/>
  </sheetPr>
  <dimension ref="A1:BG32"/>
  <sheetViews>
    <sheetView workbookViewId="0"/>
  </sheetViews>
  <sheetFormatPr defaultRowHeight="15" x14ac:dyDescent="0.25"/>
  <cols>
    <col min="2" max="2" width="25.7109375" customWidth="1"/>
    <col min="3" max="19" width="8.7109375" customWidth="1"/>
  </cols>
  <sheetData>
    <row r="1" spans="1:59" x14ac:dyDescent="0.25">
      <c r="A1" s="224">
        <v>2027</v>
      </c>
      <c r="B1" s="235" t="s">
        <v>277</v>
      </c>
      <c r="C1" s="274" t="s">
        <v>0</v>
      </c>
      <c r="D1" s="274"/>
      <c r="E1" s="274"/>
      <c r="F1" s="274"/>
      <c r="G1" s="274"/>
      <c r="H1" s="274" t="s">
        <v>262</v>
      </c>
      <c r="I1" s="274"/>
      <c r="J1" s="274"/>
      <c r="K1" s="274"/>
      <c r="L1" s="274"/>
      <c r="M1" s="202"/>
      <c r="N1" s="274" t="s">
        <v>275</v>
      </c>
      <c r="O1" s="274"/>
      <c r="P1" s="274"/>
      <c r="Q1" s="274"/>
      <c r="R1" s="274"/>
      <c r="S1" s="202"/>
    </row>
    <row r="2" spans="1:59" x14ac:dyDescent="0.25">
      <c r="B2" s="203" t="s">
        <v>1</v>
      </c>
      <c r="C2" s="204" t="s">
        <v>2</v>
      </c>
      <c r="D2" s="204" t="s">
        <v>3</v>
      </c>
      <c r="E2" s="204" t="s">
        <v>4</v>
      </c>
      <c r="F2" s="204" t="s">
        <v>5</v>
      </c>
      <c r="G2" s="205" t="s">
        <v>6</v>
      </c>
      <c r="H2" s="204" t="s">
        <v>2</v>
      </c>
      <c r="I2" s="204" t="s">
        <v>3</v>
      </c>
      <c r="J2" s="204" t="s">
        <v>4</v>
      </c>
      <c r="K2" s="204" t="s">
        <v>5</v>
      </c>
      <c r="L2" s="205" t="s">
        <v>6</v>
      </c>
      <c r="M2" s="202"/>
      <c r="N2" s="230" t="s">
        <v>2</v>
      </c>
      <c r="O2" s="204" t="s">
        <v>3</v>
      </c>
      <c r="P2" s="204" t="s">
        <v>4</v>
      </c>
      <c r="Q2" s="204" t="s">
        <v>5</v>
      </c>
      <c r="R2" s="205" t="s">
        <v>6</v>
      </c>
      <c r="S2" s="202"/>
    </row>
    <row r="3" spans="1:59" x14ac:dyDescent="0.25">
      <c r="A3" s="1"/>
      <c r="B3" s="206" t="s">
        <v>7</v>
      </c>
      <c r="C3" s="207">
        <f ca="1">OFFSET(PointsNoBACT!$B$5,MATCH($A$1,PointsNoBACT!$A$6:$A$15,0),0)</f>
        <v>0.62414762075740604</v>
      </c>
      <c r="D3" s="207">
        <f ca="1">OFFSET(PointsNoBACT!$E$5,MATCH($A$1,PointsNoBACT!$A$6:$A$15,0),0)</f>
        <v>14.596496282213964</v>
      </c>
      <c r="E3" s="207">
        <f ca="1">OFFSET(PointsNoBACT!$D$5,MATCH($A$1,PointsNoBACT!$A$6:$A$15,0),0)</f>
        <v>7.1450494665423605</v>
      </c>
      <c r="F3" s="207">
        <f ca="1">OFFSET(PointsNoBACT!$F$5,MATCH($A$1,PointsNoBACT!$A$6:$A$15,0),0)</f>
        <v>4.1308975417953558E-2</v>
      </c>
      <c r="G3" s="208">
        <f ca="1">OFFSET(PointsNoBACT!$H$5,MATCH($A$1,PointsNoBACT!$A$6:$A$15,0),0)</f>
        <v>9.5302582793534513E-2</v>
      </c>
      <c r="H3" s="209">
        <f t="shared" ref="H3:H13" ca="1" si="0">C3/C$13</f>
        <v>0.18239199627424627</v>
      </c>
      <c r="I3" s="210">
        <f t="shared" ref="I3:I13" ca="1" si="1">D3/D$13</f>
        <v>0.6952745516938541</v>
      </c>
      <c r="J3" s="210">
        <f t="shared" ref="J3:J13" ca="1" si="2">E3/E$13</f>
        <v>0.3407176012562213</v>
      </c>
      <c r="K3" s="210">
        <f t="shared" ref="K3:K13" ca="1" si="3">F3/F$13</f>
        <v>2.6490911522119016E-3</v>
      </c>
      <c r="L3" s="211">
        <f t="shared" ref="L3:L13" ca="1" si="4">G3/G$13</f>
        <v>0.27575468201139841</v>
      </c>
      <c r="M3" s="202"/>
      <c r="N3" s="232">
        <f ca="1">IFERROR(C3/SectorSum2020!C3-1,0)</f>
        <v>7.8190523333866002E-2</v>
      </c>
      <c r="O3" s="202">
        <f ca="1">IFERROR(D3/SectorSum2020!D3-1,0)</f>
        <v>7.8190523333863116E-2</v>
      </c>
      <c r="P3" s="202">
        <f ca="1">IFERROR(E3/SectorSum2020!E3-1,0)</f>
        <v>7.8190523333864448E-2</v>
      </c>
      <c r="Q3" s="202">
        <f ca="1">IFERROR(F3/SectorSum2020!F3-1,0)</f>
        <v>7.8190523333863116E-2</v>
      </c>
      <c r="R3" s="225">
        <f ca="1">IFERROR(G3/SectorSum2020!G3-1,0)</f>
        <v>7.8190523333862005E-2</v>
      </c>
      <c r="S3" s="202"/>
    </row>
    <row r="4" spans="1:59" x14ac:dyDescent="0.25">
      <c r="A4" s="1"/>
      <c r="B4" s="206" t="s">
        <v>263</v>
      </c>
      <c r="C4" s="207" cm="1">
        <f t="array" aca="1" ref="C4" ca="1">INDIRECT("TabSpHt"&amp;$A$1&amp;"!$T$7")</f>
        <v>2.2075</v>
      </c>
      <c r="D4" s="207" cm="1">
        <f t="array" aca="1" ref="D4" ca="1">INDIRECT("TabSpHt"&amp;$A$1&amp;"!$R$7")</f>
        <v>2.5047999999999999</v>
      </c>
      <c r="E4" s="207" cm="1">
        <f t="array" aca="1" ref="E4" ca="1">INDIRECT("TabSpHt"&amp;$A$1&amp;"!$U$7")</f>
        <v>4.0907999999999998</v>
      </c>
      <c r="F4" s="207" cm="1">
        <f t="array" aca="1" ref="F4" ca="1">INDIRECT("TabSpHt"&amp;$A$1&amp;"!$V$7")</f>
        <v>8.5562000000000005</v>
      </c>
      <c r="G4" s="208" cm="1">
        <f t="array" aca="1" ref="G4" ca="1">INDIRECT("TabSpHt"&amp;$A$1&amp;"!$Q$7")</f>
        <v>0.1326</v>
      </c>
      <c r="H4" s="210">
        <f t="shared" ca="1" si="0"/>
        <v>0.64508830665220651</v>
      </c>
      <c r="I4" s="210">
        <f t="shared" ca="1" si="1"/>
        <v>0.11931107735798466</v>
      </c>
      <c r="J4" s="210">
        <f t="shared" ca="1" si="2"/>
        <v>0.19507318595142528</v>
      </c>
      <c r="K4" s="210">
        <f t="shared" ca="1" si="3"/>
        <v>0.54869803686063812</v>
      </c>
      <c r="L4" s="211">
        <f t="shared" ca="1" si="4"/>
        <v>0.38367345105354339</v>
      </c>
      <c r="M4" s="202"/>
      <c r="N4" s="232">
        <f ca="1">IFERROR(C4/SectorSum2020!C4-1,0)</f>
        <v>2.9665562759457087E-2</v>
      </c>
      <c r="O4" s="202">
        <f ca="1">IFERROR(D4/SectorSum2020!D4-1,0)</f>
        <v>7.8400137770697764E-2</v>
      </c>
      <c r="P4" s="202">
        <f ca="1">IFERROR(E4/SectorSum2020!E4-1,0)</f>
        <v>3.514765049722901E-2</v>
      </c>
      <c r="Q4" s="202">
        <f ca="1">IFERROR(F4/SectorSum2020!F4-1,0)</f>
        <v>0.19853198672064343</v>
      </c>
      <c r="R4" s="225">
        <f ca="1">IFERROR(G4/SectorSum2020!G4-1,0)</f>
        <v>0.13819742489270381</v>
      </c>
      <c r="S4" s="202"/>
    </row>
    <row r="5" spans="1:59" x14ac:dyDescent="0.25">
      <c r="A5" s="1"/>
      <c r="B5" s="212" t="s">
        <v>264</v>
      </c>
      <c r="C5" s="207" cm="1">
        <f t="array" aca="1" ref="C5" ca="1">C$4*INDIRECT("TabSpHt"&amp;$A$1&amp;"!T89")</f>
        <v>2.1101892480745845</v>
      </c>
      <c r="D5" s="207" cm="1">
        <f t="array" aca="1" ref="D5" ca="1">D$4*INDIRECT("TabSpHt"&amp;$A$1&amp;"!R89")</f>
        <v>0.33710000000000001</v>
      </c>
      <c r="E5" s="207" cm="1">
        <f t="array" aca="1" ref="E5" ca="1">E$4*INDIRECT("TabSpHt"&amp;$A$1&amp;"!U89")</f>
        <v>9.9582704982863202E-2</v>
      </c>
      <c r="F5" s="207" cm="1">
        <f t="array" aca="1" ref="F5" ca="1">F$4*INDIRECT("TabSpHt"&amp;$A$1&amp;"!V89")</f>
        <v>8.4318000000000008</v>
      </c>
      <c r="G5" s="208" cm="1">
        <f t="array" aca="1" ref="G5" ca="1">G$4*INDIRECT("TabSpHt"&amp;$A$1&amp;"!Q89")</f>
        <v>9.01E-2</v>
      </c>
      <c r="H5" s="210">
        <f t="shared" ca="1" si="0"/>
        <v>0.61665160079552728</v>
      </c>
      <c r="I5" s="210">
        <f t="shared" ca="1" si="1"/>
        <v>1.6057076084867707E-2</v>
      </c>
      <c r="J5" s="210">
        <f t="shared" ca="1" si="2"/>
        <v>4.7486837603080085E-3</v>
      </c>
      <c r="K5" s="210">
        <f t="shared" ca="1" si="3"/>
        <v>0.54072042579667701</v>
      </c>
      <c r="L5" s="211">
        <f t="shared" ca="1" si="4"/>
        <v>0.26070119110048462</v>
      </c>
      <c r="M5" s="202"/>
      <c r="N5" s="232">
        <f ca="1">IFERROR(C5/SectorSum2020!C5-1,0)</f>
        <v>2.4910995227832355E-2</v>
      </c>
      <c r="O5" s="202">
        <f ca="1">IFERROR(D5/SectorSum2020!D5-1,0)</f>
        <v>0.23119065010956907</v>
      </c>
      <c r="P5" s="202">
        <f ca="1">IFERROR(E5/SectorSum2020!E5-1,0)</f>
        <v>1.0240387191638867</v>
      </c>
      <c r="Q5" s="202">
        <f ca="1">IFERROR(F5/SectorSum2020!F5-1,0)</f>
        <v>0.2009742479489518</v>
      </c>
      <c r="R5" s="225">
        <f ca="1">IFERROR(G5/SectorSum2020!G5-1,0)</f>
        <v>0.21921515561569693</v>
      </c>
      <c r="S5" s="202"/>
    </row>
    <row r="6" spans="1:59" x14ac:dyDescent="0.25">
      <c r="A6" s="1"/>
      <c r="B6" s="212" t="s">
        <v>265</v>
      </c>
      <c r="C6" s="207" cm="1">
        <f t="array" aca="1" ref="C6" ca="1">C$4*INDIRECT("TabSpHt"&amp;$A$1&amp;"!T90")</f>
        <v>5.9504965545196589E-2</v>
      </c>
      <c r="D6" s="207" cm="1">
        <f t="array" aca="1" ref="D6" ca="1">D$4*INDIRECT("TabSpHt"&amp;$A$1&amp;"!R90")</f>
        <v>1.9487999999999999</v>
      </c>
      <c r="E6" s="207" cm="1">
        <f t="array" aca="1" ref="E6" ca="1">E$4*INDIRECT("TabSpHt"&amp;$A$1&amp;"!U90")</f>
        <v>3.9536490904297392</v>
      </c>
      <c r="F6" s="207" cm="1">
        <f t="array" aca="1" ref="F6" ca="1">F$4*INDIRECT("TabSpHt"&amp;$A$1&amp;"!V90")</f>
        <v>0.11080000000000002</v>
      </c>
      <c r="G6" s="208" cm="1">
        <f t="array" aca="1" ref="G6" ca="1">G$4*INDIRECT("TabSpHt"&amp;$A$1&amp;"!Q90")</f>
        <v>3.8E-3</v>
      </c>
      <c r="H6" s="210">
        <f t="shared" ca="1" si="0"/>
        <v>1.7388882202015291E-2</v>
      </c>
      <c r="I6" s="210">
        <f t="shared" ca="1" si="1"/>
        <v>9.2827142907713392E-2</v>
      </c>
      <c r="J6" s="210">
        <f t="shared" ca="1" si="2"/>
        <v>0.18853303124183143</v>
      </c>
      <c r="K6" s="210">
        <f t="shared" ca="1" si="3"/>
        <v>7.1054606582546817E-3</v>
      </c>
      <c r="L6" s="211">
        <f t="shared" ca="1" si="4"/>
        <v>1.0995166772273491E-2</v>
      </c>
      <c r="M6" s="202"/>
      <c r="N6" s="232">
        <f ca="1">IFERROR(C6/SectorSum2020!C6-1,0)</f>
        <v>-0.10920710261681754</v>
      </c>
      <c r="O6" s="202">
        <f ca="1">IFERROR(D6/SectorSum2020!D6-1,0)</f>
        <v>6.4859843724386579E-2</v>
      </c>
      <c r="P6" s="202">
        <f ca="1">IFERROR(E6/SectorSum2020!E6-1,0)</f>
        <v>1.8745417410842569E-2</v>
      </c>
      <c r="Q6" s="202">
        <f ca="1">IFERROR(F6/SectorSum2020!F6-1,0)</f>
        <v>6.1302681992337238E-2</v>
      </c>
      <c r="R6" s="225">
        <f ca="1">IFERROR(G6/SectorSum2020!G6-1,0)</f>
        <v>5.555555555555558E-2</v>
      </c>
      <c r="S6" s="202"/>
    </row>
    <row r="7" spans="1:59" x14ac:dyDescent="0.25">
      <c r="A7" s="1"/>
      <c r="B7" s="212" t="s">
        <v>266</v>
      </c>
      <c r="C7" s="207" cm="1">
        <f t="array" aca="1" ref="C7" ca="1">C$4*INDIRECT("TabSpHt"&amp;$A$1&amp;"!T91")</f>
        <v>1.7896230239156869E-3</v>
      </c>
      <c r="D7" s="207" cm="1">
        <f t="array" aca="1" ref="D7" ca="1">D$4*INDIRECT("TabSpHt"&amp;$A$1&amp;"!R91")</f>
        <v>1.2000000000000001E-3</v>
      </c>
      <c r="E7" s="207" cm="1">
        <f t="array" aca="1" ref="E7" ca="1">E$4*INDIRECT("TabSpHt"&amp;$A$1&amp;"!U91")</f>
        <v>2.516530450830477E-3</v>
      </c>
      <c r="F7" s="207" cm="1">
        <f t="array" aca="1" ref="F7" ca="1">F$4*INDIRECT("TabSpHt"&amp;$A$1&amp;"!V91")</f>
        <v>2.5000000000000001E-3</v>
      </c>
      <c r="G7" s="208" cm="1">
        <f t="array" aca="1" ref="G7" ca="1">G$4*INDIRECT("TabSpHt"&amp;$A$1&amp;"!Q91")</f>
        <v>2.9999999999999997E-4</v>
      </c>
      <c r="H7" s="210">
        <f t="shared" ca="1" si="0"/>
        <v>5.2297390081248996E-4</v>
      </c>
      <c r="I7" s="210">
        <f t="shared" ca="1" si="1"/>
        <v>5.715957075598116E-5</v>
      </c>
      <c r="J7" s="210">
        <f t="shared" ca="1" si="2"/>
        <v>1.2000283870814457E-4</v>
      </c>
      <c r="K7" s="210">
        <f t="shared" ca="1" si="3"/>
        <v>1.6032176575484386E-4</v>
      </c>
      <c r="L7" s="211">
        <f t="shared" ca="1" si="4"/>
        <v>8.680394820215914E-4</v>
      </c>
      <c r="M7" s="202"/>
      <c r="N7" s="232">
        <f ca="1">IFERROR(C7/SectorSum2020!C7-1,0)</f>
        <v>-0.10518848804215664</v>
      </c>
      <c r="O7" s="202">
        <f ca="1">IFERROR(D7/SectorSum2020!D7-1,0)</f>
        <v>2.2204460492503131E-16</v>
      </c>
      <c r="P7" s="202">
        <f ca="1">IFERROR(E7/SectorSum2020!E7-1,0)</f>
        <v>0.14387747765021675</v>
      </c>
      <c r="Q7" s="202">
        <f ca="1">IFERROR(F7/SectorSum2020!F7-1,0)</f>
        <v>4.1666666666666741E-2</v>
      </c>
      <c r="R7" s="225">
        <f ca="1">IFERROR(G7/SectorSum2020!G7-1,0)</f>
        <v>0</v>
      </c>
      <c r="S7" s="202"/>
    </row>
    <row r="8" spans="1:59" x14ac:dyDescent="0.25">
      <c r="A8" s="1"/>
      <c r="B8" s="212" t="s">
        <v>267</v>
      </c>
      <c r="C8" s="207" cm="1">
        <f t="array" aca="1" ref="C8" ca="1">C$4*INDIRECT("TabSpHt"&amp;$A$1&amp;"!T92")</f>
        <v>3.6239866234292657E-2</v>
      </c>
      <c r="D8" s="207" cm="1">
        <f t="array" aca="1" ref="D8" ca="1">D$4*INDIRECT("TabSpHt"&amp;$A$1&amp;"!R92")</f>
        <v>0.21780000000000002</v>
      </c>
      <c r="E8" s="207" cm="1">
        <f t="array" aca="1" ref="E8" ca="1">E$4*INDIRECT("TabSpHt"&amp;$A$1&amp;"!U92")</f>
        <v>3.5411178486685999E-2</v>
      </c>
      <c r="F8" s="207" cm="1">
        <f t="array" aca="1" ref="F8" ca="1">F$4*INDIRECT("TabSpHt"&amp;$A$1&amp;"!V92")</f>
        <v>1.11E-2</v>
      </c>
      <c r="G8" s="208" cm="1">
        <f t="array" aca="1" ref="G8" ca="1">G$4*INDIRECT("TabSpHt"&amp;$A$1&amp;"!Q92")</f>
        <v>3.85E-2</v>
      </c>
      <c r="H8" s="210">
        <f t="shared" ca="1" si="0"/>
        <v>1.0590221491452922E-2</v>
      </c>
      <c r="I8" s="210">
        <f t="shared" ca="1" si="1"/>
        <v>1.037446209221058E-2</v>
      </c>
      <c r="J8" s="210">
        <f t="shared" ca="1" si="2"/>
        <v>1.68861137325032E-3</v>
      </c>
      <c r="K8" s="210">
        <f t="shared" ca="1" si="3"/>
        <v>7.1182863995150679E-4</v>
      </c>
      <c r="L8" s="211">
        <f t="shared" ca="1" si="4"/>
        <v>0.1113984001927709</v>
      </c>
      <c r="M8" s="202"/>
      <c r="N8" s="232">
        <f ca="1">IFERROR(C8/SectorSum2020!C8-1,0)</f>
        <v>1.2233046769504701</v>
      </c>
      <c r="O8" s="202">
        <f ca="1">IFERROR(D8/SectorSum2020!D8-1,0)</f>
        <v>-1.1102230246251565E-16</v>
      </c>
      <c r="P8" s="202">
        <f ca="1">IFERROR(E8/SectorSum2020!E8-1,0)</f>
        <v>0.78844335791343445</v>
      </c>
      <c r="Q8" s="202">
        <f ca="1">IFERROR(F8/SectorSum2020!F8-1,0)</f>
        <v>0</v>
      </c>
      <c r="R8" s="225">
        <f ca="1">IFERROR(G8/SectorSum2020!G8-1,0)</f>
        <v>0</v>
      </c>
      <c r="S8" s="202"/>
    </row>
    <row r="9" spans="1:59" x14ac:dyDescent="0.25">
      <c r="A9" s="213"/>
      <c r="B9" s="206" t="s">
        <v>8</v>
      </c>
      <c r="C9" s="207" cm="1">
        <f t="array" aca="1" ref="C9" ca="1">INDIRECT("'"&amp;$A$1&amp;"NRARSummary'!G5")</f>
        <v>0.20186448637261434</v>
      </c>
      <c r="D9" s="207" cm="1">
        <f t="array" aca="1" ref="D9" ca="1">INDIRECT("'"&amp;$A$1&amp;"NRARSummary'!H5")</f>
        <v>1.3602168516818252</v>
      </c>
      <c r="E9" s="207" cm="1">
        <f t="array" aca="1" ref="E9" ca="1">INDIRECT("'"&amp;$A$1&amp;"NRARSummary'!I5")</f>
        <v>0.73753630470672082</v>
      </c>
      <c r="F9" s="207" cm="1">
        <f t="array" aca="1" ref="F9" ca="1">INDIRECT("'"&amp;$A$1&amp;"NRARSummary'!J5")</f>
        <v>2.5285097270360049</v>
      </c>
      <c r="G9" s="208" cm="1">
        <f t="array" aca="1" ref="G9" ca="1">INDIRECT("'"&amp;$A$1&amp;"NRARSummary'!K5")</f>
        <v>5.5897585477755703E-2</v>
      </c>
      <c r="H9" s="210">
        <f t="shared" ca="1" si="0"/>
        <v>5.8989997593353202E-2</v>
      </c>
      <c r="I9" s="210">
        <f t="shared" ca="1" si="1"/>
        <v>6.4791176147654339E-2</v>
      </c>
      <c r="J9" s="210">
        <f t="shared" ca="1" si="2"/>
        <v>3.5170029508648976E-2</v>
      </c>
      <c r="K9" s="210">
        <f t="shared" ca="1" si="3"/>
        <v>0.16215005766668422</v>
      </c>
      <c r="L9" s="211">
        <f t="shared" ca="1" si="4"/>
        <v>0.16173770381456232</v>
      </c>
      <c r="M9" s="202"/>
      <c r="N9" s="232">
        <f ca="1">IFERROR(C9/SectorSum2020!C9-1,0)</f>
        <v>0.10005390311568729</v>
      </c>
      <c r="O9" s="202">
        <f ca="1">IFERROR(D9/SectorSum2020!D9-1,0)</f>
        <v>0.10005390311568707</v>
      </c>
      <c r="P9" s="202">
        <f ca="1">IFERROR(E9/SectorSum2020!E9-1,0)</f>
        <v>0.10005390311568685</v>
      </c>
      <c r="Q9" s="202">
        <f ca="1">IFERROR(F9/SectorSum2020!F9-1,0)</f>
        <v>0.10005390311568663</v>
      </c>
      <c r="R9" s="225">
        <f ca="1">IFERROR(G9/SectorSum2020!G9-1,0)</f>
        <v>0.10005390311568729</v>
      </c>
      <c r="S9" s="202"/>
    </row>
    <row r="10" spans="1:59" x14ac:dyDescent="0.25">
      <c r="A10" s="2"/>
      <c r="B10" s="206" t="s">
        <v>269</v>
      </c>
      <c r="C10" s="207">
        <f ca="1">OFFSET(OnRoad!$N$6,MATCH($A$1,OnRoad!$A$7:$A$17,0),MATCH(C2,OnRoad!$C$6:$I$6,0))</f>
        <v>7.0625590825959331E-2</v>
      </c>
      <c r="D10" s="207">
        <f ca="1">OFFSET(OnRoad!$N$6,MATCH($A$1,OnRoad!$A$7:$A$17,0),MATCH(D2,OnRoad!$C$6:$I$6,0))</f>
        <v>0.94534644922338207</v>
      </c>
      <c r="E10" s="207">
        <f ca="1">OFFSET(OnRoad!$N$6,MATCH($A$1,OnRoad!$A$7:$A$17,0),MATCH(E2,OnRoad!$C$6:$I$6,0))</f>
        <v>3.8420971295871119E-3</v>
      </c>
      <c r="F10" s="207">
        <f ca="1">OFFSET(OnRoad!$N$6,MATCH($A$1,OnRoad!$A$7:$A$17,0),MATCH(F2,OnRoad!$C$6:$I$6,0))</f>
        <v>1.389866186726634</v>
      </c>
      <c r="G10" s="208">
        <f ca="1">OFFSET(OnRoad!$N$6,MATCH($A$1,OnRoad!$A$7:$A$17,0),MATCH(G2,OnRoad!$C$6:$I$6,0))</f>
        <v>5.9506772794328505E-2</v>
      </c>
      <c r="H10" s="210">
        <f t="shared" ca="1" si="0"/>
        <v>2.0638615081417764E-2</v>
      </c>
      <c r="I10" s="210">
        <f t="shared" ca="1" si="1"/>
        <v>4.5029664377749544E-2</v>
      </c>
      <c r="J10" s="210">
        <f t="shared" ca="1" si="2"/>
        <v>1.8321358360305664E-4</v>
      </c>
      <c r="K10" s="210">
        <f t="shared" ca="1" si="3"/>
        <v>8.9130320487586193E-2</v>
      </c>
      <c r="L10" s="211">
        <f t="shared" ca="1" si="4"/>
        <v>0.17218076077721814</v>
      </c>
      <c r="M10" s="202"/>
      <c r="N10" s="232">
        <f ca="1">IFERROR(C10/SectorSum2020!C10-1,0)</f>
        <v>-0.31138986977118632</v>
      </c>
      <c r="O10" s="202">
        <f ca="1">IFERROR(D10/SectorSum2020!D10-1,0)</f>
        <v>-0.46633339279779162</v>
      </c>
      <c r="P10" s="202">
        <f ca="1">IFERROR(E10/SectorSum2020!E10-1,0)</f>
        <v>-9.2043403760594278E-2</v>
      </c>
      <c r="Q10" s="202">
        <f ca="1">IFERROR(F10/SectorSum2020!F10-1,0)</f>
        <v>-0.2525267065543535</v>
      </c>
      <c r="R10" s="225">
        <f ca="1">IFERROR(G10/SectorSum2020!G10-1,0)</f>
        <v>-4.7094314936672377E-2</v>
      </c>
      <c r="S10" s="202"/>
    </row>
    <row r="11" spans="1:59" x14ac:dyDescent="0.25">
      <c r="A11" s="2"/>
      <c r="B11" s="206" t="s">
        <v>270</v>
      </c>
      <c r="C11" s="207" cm="1">
        <f t="array" aca="1" ref="C11" ca="1">INDIRECT("'"&amp;$A$1&amp;"NRARSummary'!G8")</f>
        <v>0.21314998259300369</v>
      </c>
      <c r="D11" s="207" cm="1">
        <f t="array" aca="1" ref="D11" ca="1">INDIRECT("'"&amp;$A$1&amp;"NRARSummary'!H8")</f>
        <v>0.70209117934987364</v>
      </c>
      <c r="E11" s="207" cm="1">
        <f t="array" aca="1" ref="E11" ca="1">INDIRECT("'"&amp;$A$1&amp;"NRARSummary'!I8")</f>
        <v>8.9904348279609234</v>
      </c>
      <c r="F11" s="207" cm="1">
        <f t="array" aca="1" ref="F11" ca="1">INDIRECT("'"&amp;$A$1&amp;"NRARSummary'!J8")</f>
        <v>0.33244974863157023</v>
      </c>
      <c r="G11" s="208" cm="1">
        <f t="array" aca="1" ref="G11" ca="1">INDIRECT("'"&amp;$A$1&amp;"NRARSummary'!K8")</f>
        <v>0</v>
      </c>
      <c r="H11" s="210">
        <f t="shared" ca="1" si="0"/>
        <v>6.2287910004017226E-2</v>
      </c>
      <c r="I11" s="210">
        <f t="shared" ca="1" si="1"/>
        <v>3.3442692035999463E-2</v>
      </c>
      <c r="J11" s="210">
        <f t="shared" ca="1" si="2"/>
        <v>0.4287163305414568</v>
      </c>
      <c r="K11" s="210">
        <f t="shared" ca="1" si="3"/>
        <v>2.1319572290146929E-2</v>
      </c>
      <c r="L11" s="211">
        <f t="shared" ca="1" si="4"/>
        <v>0</v>
      </c>
      <c r="M11" s="202"/>
      <c r="N11" s="232">
        <f ca="1">IFERROR(C11/SectorSum2020!C11-1,0)</f>
        <v>0.10399008553771383</v>
      </c>
      <c r="O11" s="202">
        <f ca="1">IFERROR(D11/SectorSum2020!D11-1,0)</f>
        <v>7.504529121418968E-2</v>
      </c>
      <c r="P11" s="202">
        <f ca="1">IFERROR(E11/SectorSum2020!E11-1,0)</f>
        <v>8.652282954033641E-2</v>
      </c>
      <c r="Q11" s="202">
        <f ca="1">IFERROR(F11/SectorSum2020!F11-1,0)</f>
        <v>8.2594806245626096E-2</v>
      </c>
      <c r="R11" s="225">
        <f ca="1">IFERROR(G11/SectorSum2020!G11-1,0)</f>
        <v>0</v>
      </c>
      <c r="S11" s="202"/>
    </row>
    <row r="12" spans="1:59" x14ac:dyDescent="0.25">
      <c r="A12" s="1"/>
      <c r="B12" s="214" t="s">
        <v>271</v>
      </c>
      <c r="C12" s="215" cm="1">
        <f t="array" aca="1" ref="C12" ca="1">INDIRECT("'"&amp;$A$1&amp;"NRARSummary'!G9")-INDIRECT("'"&amp;$A$1&amp;"NRARSummary'!G8")</f>
        <v>0.10472443350744667</v>
      </c>
      <c r="D12" s="215" cm="1">
        <f t="array" aca="1" ref="D12" ca="1">INDIRECT("'"&amp;$A$1&amp;"NRARSummary'!H9")-INDIRECT("'"&amp;$A$1&amp;"NRARSummary'!H8")</f>
        <v>0.88490878071921775</v>
      </c>
      <c r="E12" s="215" cm="1">
        <f t="array" aca="1" ref="E12" ca="1">INDIRECT("'"&amp;$A$1&amp;"NRARSummary'!I9")-INDIRECT("'"&amp;$A$1&amp;"NRARSummary'!I8")</f>
        <v>2.9283156852013548E-3</v>
      </c>
      <c r="F12" s="215" cm="1">
        <f t="array" aca="1" ref="F12" ca="1">INDIRECT("'"&amp;$A$1&amp;"NRARSummary'!J9")-INDIRECT("'"&amp;$A$1&amp;"NRARSummary'!J8")</f>
        <v>2.7453059900167305</v>
      </c>
      <c r="G12" s="216" cm="1">
        <f t="array" aca="1" ref="G12" ca="1">INDIRECT("'"&amp;$A$1&amp;"NRARSummary'!K9")-INDIRECT("'"&amp;$A$1&amp;"NRARSummary'!K8")</f>
        <v>2.2994584282441865E-3</v>
      </c>
      <c r="H12" s="217">
        <f t="shared" ca="1" si="0"/>
        <v>3.0603174394758941E-2</v>
      </c>
      <c r="I12" s="217">
        <f t="shared" ca="1" si="1"/>
        <v>4.2150838386757615E-2</v>
      </c>
      <c r="J12" s="217">
        <f t="shared" ca="1" si="2"/>
        <v>1.3963915864470501E-4</v>
      </c>
      <c r="K12" s="217">
        <f t="shared" ca="1" si="3"/>
        <v>0.1760529215427328</v>
      </c>
      <c r="L12" s="218">
        <f t="shared" ca="1" si="4"/>
        <v>6.6534023432775549E-3</v>
      </c>
      <c r="M12" s="202"/>
      <c r="N12" s="233">
        <f ca="1">IFERROR(C12/SectorSum2020!C12-1,0)</f>
        <v>-0.14448110464484987</v>
      </c>
      <c r="O12" s="226">
        <f ca="1">IFERROR(D12/SectorSum2020!D12-1,0)</f>
        <v>4.7550838527782524E-2</v>
      </c>
      <c r="P12" s="226">
        <f ca="1">IFERROR(E12/SectorSum2020!E12-1,0)</f>
        <v>0</v>
      </c>
      <c r="Q12" s="226">
        <f ca="1">IFERROR(F12/SectorSum2020!F12-1,0)</f>
        <v>-0.17409810782879775</v>
      </c>
      <c r="R12" s="227">
        <f ca="1">IFERROR(G12/SectorSum2020!G12-1,0)</f>
        <v>1.3251366594463798E-2</v>
      </c>
      <c r="S12" s="202"/>
    </row>
    <row r="13" spans="1:59" x14ac:dyDescent="0.25">
      <c r="A13" s="1"/>
      <c r="B13" s="219" t="s">
        <v>10</v>
      </c>
      <c r="C13" s="220">
        <f ca="1">SUM(C3:C4,C9:C12)</f>
        <v>3.4220121140564306</v>
      </c>
      <c r="D13" s="220">
        <f ca="1">SUM(D3:D4,D9:D12)</f>
        <v>20.993859543188268</v>
      </c>
      <c r="E13" s="220">
        <f ca="1">SUM(E3:E4,E9:E12)</f>
        <v>20.970591012024791</v>
      </c>
      <c r="F13" s="220">
        <f ca="1">SUM(F3:F4,F9:F12)</f>
        <v>15.593640627828892</v>
      </c>
      <c r="G13" s="221">
        <f ca="1">SUM(G3:G4,G9:G12)</f>
        <v>0.34560639949386296</v>
      </c>
      <c r="H13" s="222">
        <f t="shared" ca="1" si="0"/>
        <v>1</v>
      </c>
      <c r="I13" s="222">
        <f t="shared" ca="1" si="1"/>
        <v>1</v>
      </c>
      <c r="J13" s="222">
        <f t="shared" ca="1" si="2"/>
        <v>1</v>
      </c>
      <c r="K13" s="222">
        <f t="shared" ca="1" si="3"/>
        <v>1</v>
      </c>
      <c r="L13" s="223">
        <f t="shared" ca="1" si="4"/>
        <v>1</v>
      </c>
      <c r="M13" s="202"/>
      <c r="N13" s="234">
        <f ca="1">IFERROR(C13/SectorSum2020!C13-1,0)</f>
        <v>2.9382809473722293E-2</v>
      </c>
      <c r="O13" s="228">
        <f ca="1">IFERROR(D13/SectorSum2020!D13-1,0)</f>
        <v>3.080879524396174E-2</v>
      </c>
      <c r="P13" s="228">
        <f ca="1">IFERROR(E13/SectorSum2020!E13-1,0)</f>
        <v>7.3713190294243169E-2</v>
      </c>
      <c r="Q13" s="228">
        <f ca="1">IFERROR(F13/SectorSum2020!F13-1,0)</f>
        <v>4.191960726235977E-2</v>
      </c>
      <c r="R13" s="229">
        <f ca="1">IFERROR(G13/SectorSum2020!G13-1,0)</f>
        <v>7.8598224102921721E-2</v>
      </c>
      <c r="S13" s="202"/>
    </row>
    <row r="14" spans="1:59" x14ac:dyDescent="0.25">
      <c r="A14" s="1"/>
      <c r="B14" s="201"/>
      <c r="C14" s="201"/>
      <c r="D14" s="201"/>
      <c r="E14" s="201"/>
      <c r="F14" s="201"/>
      <c r="G14" s="201"/>
      <c r="H14" s="201"/>
      <c r="I14" s="201"/>
      <c r="J14" s="201"/>
      <c r="K14" s="201"/>
      <c r="L14" s="201"/>
      <c r="M14" s="202"/>
      <c r="N14" s="201"/>
      <c r="O14" s="201"/>
      <c r="P14" s="201"/>
      <c r="Q14" s="201"/>
      <c r="R14" s="201"/>
      <c r="S14" s="202"/>
    </row>
    <row r="15" spans="1:59" x14ac:dyDescent="0.25">
      <c r="B15" s="201"/>
      <c r="C15" s="201"/>
      <c r="D15" s="201"/>
      <c r="E15" s="201"/>
      <c r="F15" s="201"/>
      <c r="G15" s="201"/>
      <c r="H15" s="201"/>
      <c r="I15" s="201"/>
      <c r="J15" s="201"/>
      <c r="K15" s="201"/>
      <c r="L15" s="201"/>
      <c r="M15" s="202"/>
      <c r="N15" s="201"/>
      <c r="O15" s="201"/>
      <c r="P15" s="201"/>
      <c r="Q15" s="201"/>
      <c r="R15" s="201"/>
      <c r="S15" s="202"/>
    </row>
    <row r="16" spans="1:59" x14ac:dyDescent="0.25">
      <c r="B16" s="201"/>
      <c r="C16" s="274" t="s">
        <v>268</v>
      </c>
      <c r="D16" s="274"/>
      <c r="E16" s="274"/>
      <c r="F16" s="274"/>
      <c r="G16" s="274"/>
      <c r="H16" s="274" t="s">
        <v>262</v>
      </c>
      <c r="I16" s="274"/>
      <c r="J16" s="274"/>
      <c r="K16" s="274"/>
      <c r="L16" s="274"/>
      <c r="M16" s="202"/>
      <c r="N16" s="274" t="s">
        <v>276</v>
      </c>
      <c r="O16" s="274"/>
      <c r="P16" s="274"/>
      <c r="Q16" s="274"/>
      <c r="R16" s="274"/>
      <c r="S16" s="202"/>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c r="BE16" s="260"/>
      <c r="BF16" s="260"/>
      <c r="BG16" s="260"/>
    </row>
    <row r="17" spans="1:19" x14ac:dyDescent="0.25">
      <c r="B17" s="203" t="s">
        <v>1</v>
      </c>
      <c r="C17" s="204" t="s">
        <v>2</v>
      </c>
      <c r="D17" s="204" t="s">
        <v>3</v>
      </c>
      <c r="E17" s="204" t="s">
        <v>4</v>
      </c>
      <c r="F17" s="204" t="s">
        <v>5</v>
      </c>
      <c r="G17" s="205" t="s">
        <v>6</v>
      </c>
      <c r="H17" s="204" t="s">
        <v>2</v>
      </c>
      <c r="I17" s="204" t="s">
        <v>3</v>
      </c>
      <c r="J17" s="204" t="s">
        <v>4</v>
      </c>
      <c r="K17" s="204" t="s">
        <v>5</v>
      </c>
      <c r="L17" s="205" t="s">
        <v>6</v>
      </c>
      <c r="M17" s="202"/>
      <c r="N17" s="230" t="s">
        <v>2</v>
      </c>
      <c r="O17" s="204" t="s">
        <v>3</v>
      </c>
      <c r="P17" s="204" t="s">
        <v>4</v>
      </c>
      <c r="Q17" s="204" t="s">
        <v>5</v>
      </c>
      <c r="R17" s="205" t="s">
        <v>6</v>
      </c>
      <c r="S17" s="202"/>
    </row>
    <row r="18" spans="1:19" x14ac:dyDescent="0.25">
      <c r="B18" s="206" t="s">
        <v>7</v>
      </c>
      <c r="C18" s="207">
        <f ca="1">C3</f>
        <v>0.62414762075740604</v>
      </c>
      <c r="D18" s="207">
        <f t="shared" ref="D18:G18" ca="1" si="5">D3</f>
        <v>14.596496282213964</v>
      </c>
      <c r="E18" s="207">
        <f t="shared" ca="1" si="5"/>
        <v>7.1450494665423605</v>
      </c>
      <c r="F18" s="207">
        <f t="shared" ca="1" si="5"/>
        <v>4.1308975417953558E-2</v>
      </c>
      <c r="G18" s="208">
        <f t="shared" ca="1" si="5"/>
        <v>9.5302582793534513E-2</v>
      </c>
      <c r="H18" s="209">
        <f t="shared" ref="H18:H28" ca="1" si="6">C18/C$28</f>
        <v>0.2106779443906886</v>
      </c>
      <c r="I18" s="210">
        <f t="shared" ref="I18:I28" ca="1" si="7">D18/D$28</f>
        <v>0.77859343765564759</v>
      </c>
      <c r="J18" s="210">
        <f t="shared" ref="J18:J28" ca="1" si="8">E18/E$28</f>
        <v>0.42857194629010847</v>
      </c>
      <c r="K18" s="210">
        <f t="shared" ref="K18:K28" ca="1" si="9">F18/F$28</f>
        <v>2.9815269196754837E-3</v>
      </c>
      <c r="L18" s="211">
        <f t="shared" ref="L18:L28" ca="1" si="10">G18/G$28</f>
        <v>0.30759819050046078</v>
      </c>
      <c r="M18" s="202"/>
      <c r="N18" s="232">
        <f ca="1">IFERROR(C18/SectorSum2020!C18-1,0)</f>
        <v>7.8190523333866002E-2</v>
      </c>
      <c r="O18" s="202">
        <f ca="1">IFERROR(D18/SectorSum2020!D18-1,0)</f>
        <v>7.8190523333863116E-2</v>
      </c>
      <c r="P18" s="202">
        <f ca="1">IFERROR(E18/SectorSum2020!E18-1,0)</f>
        <v>7.8190523333864448E-2</v>
      </c>
      <c r="Q18" s="202">
        <f ca="1">IFERROR(F18/SectorSum2020!F18-1,0)</f>
        <v>7.8190523333863116E-2</v>
      </c>
      <c r="R18" s="225">
        <f ca="1">IFERROR(G18/SectorSum2020!G18-1,0)</f>
        <v>7.8190523333862005E-2</v>
      </c>
      <c r="S18" s="202"/>
    </row>
    <row r="19" spans="1:19" x14ac:dyDescent="0.25">
      <c r="B19" s="206" t="s">
        <v>263</v>
      </c>
      <c r="C19" s="207" cm="1">
        <f t="array" aca="1" ref="C19" ca="1">INDIRECT("TabSpHt"&amp;$A$1&amp;"!$M$7")</f>
        <v>1.9596</v>
      </c>
      <c r="D19" s="207" cm="1">
        <f t="array" aca="1" ref="D19" ca="1">INDIRECT("TabSpHt"&amp;$A$1&amp;"!$K$7")</f>
        <v>2.3369</v>
      </c>
      <c r="E19" s="207" cm="1">
        <f t="array" aca="1" ref="E19" ca="1">INDIRECT("TabSpHt"&amp;$A$1&amp;"!$N$7")</f>
        <v>3.7953999999999999</v>
      </c>
      <c r="F19" s="207" cm="1">
        <f t="array" aca="1" ref="F19" ca="1">INDIRECT("TabSpHt"&amp;$A$1&amp;"!$O$7")</f>
        <v>8.0131999999999994</v>
      </c>
      <c r="G19" s="208" cm="1">
        <f t="array" aca="1" ref="G19" ca="1">INDIRECT("TabSpHt"&amp;$A$1&amp;"!$J$7")</f>
        <v>0.1235</v>
      </c>
      <c r="H19" s="210">
        <f t="shared" ca="1" si="6"/>
        <v>0.66145329421748755</v>
      </c>
      <c r="I19" s="210">
        <f t="shared" ca="1" si="7"/>
        <v>0.1246528597876302</v>
      </c>
      <c r="J19" s="210">
        <f t="shared" ca="1" si="8"/>
        <v>0.22765440219361063</v>
      </c>
      <c r="K19" s="210">
        <f t="shared" ca="1" si="9"/>
        <v>0.57836272313740122</v>
      </c>
      <c r="L19" s="211">
        <f t="shared" ca="1" si="10"/>
        <v>0.39860804831602215</v>
      </c>
      <c r="M19" s="202"/>
      <c r="N19" s="232">
        <f ca="1">IFERROR(C19/SectorSum2020!C19-1,0)</f>
        <v>-7.4102980053354361E-3</v>
      </c>
      <c r="O19" s="202">
        <f ca="1">IFERROR(D19/SectorSum2020!D19-1,0)</f>
        <v>7.8303802141011625E-2</v>
      </c>
      <c r="P19" s="202">
        <f ca="1">IFERROR(E19/SectorSum2020!E19-1,0)</f>
        <v>5.2600044720326089E-2</v>
      </c>
      <c r="Q19" s="202">
        <f ca="1">IFERROR(F19/SectorSum2020!F19-1,0)</f>
        <v>0.20256925893687905</v>
      </c>
      <c r="R19" s="225">
        <f ca="1">IFERROR(G19/SectorSum2020!G19-1,0)</f>
        <v>0.13406795224977053</v>
      </c>
      <c r="S19" s="202"/>
    </row>
    <row r="20" spans="1:19" x14ac:dyDescent="0.25">
      <c r="B20" s="212" t="s">
        <v>264</v>
      </c>
      <c r="C20" s="207" cm="1">
        <f t="array" aca="1" ref="C20" ca="1">C$19*INDIRECT("TabSpHt"&amp;$A$1&amp;"!M89")</f>
        <v>1.8564352415753147</v>
      </c>
      <c r="D20" s="207" cm="1">
        <f t="array" aca="1" ref="D20" ca="1">D$19*INDIRECT("TabSpHt"&amp;$A$1&amp;"!K89")</f>
        <v>0.28460000000000002</v>
      </c>
      <c r="E20" s="207" cm="1">
        <f t="array" aca="1" ref="E20" ca="1">E$19*INDIRECT("TabSpHt"&amp;$A$1&amp;"!N89")</f>
        <v>8.5858372046051304E-2</v>
      </c>
      <c r="F20" s="207" cm="1">
        <f t="array" aca="1" ref="F20" ca="1">F$19*INDIRECT("TabSpHt"&amp;$A$1&amp;"!O89")</f>
        <v>7.8959000000000001</v>
      </c>
      <c r="G20" s="208" cm="1">
        <f t="array" aca="1" ref="G20" ca="1">G$19*INDIRECT("TabSpHt"&amp;$A$1&amp;"!J89")</f>
        <v>8.1100000000000005E-2</v>
      </c>
      <c r="H20" s="210">
        <f t="shared" ca="1" si="6"/>
        <v>0.62663053992724504</v>
      </c>
      <c r="I20" s="210">
        <f t="shared" ca="1" si="7"/>
        <v>1.5180882320835105E-2</v>
      </c>
      <c r="J20" s="210">
        <f t="shared" ca="1" si="8"/>
        <v>5.1499279025821838E-3</v>
      </c>
      <c r="K20" s="210">
        <f t="shared" ca="1" si="9"/>
        <v>0.56989644906162407</v>
      </c>
      <c r="L20" s="211">
        <f t="shared" ca="1" si="10"/>
        <v>0.26175799772007613</v>
      </c>
      <c r="M20" s="202"/>
      <c r="N20" s="232">
        <f ca="1">IFERROR(C20/SectorSum2020!C20-1,0)</f>
        <v>-1.890080863600585E-2</v>
      </c>
      <c r="O20" s="202">
        <f ca="1">IFERROR(D20/SectorSum2020!D20-1,0)</f>
        <v>0.23096885813148793</v>
      </c>
      <c r="P20" s="202">
        <f ca="1">IFERROR(E20/SectorSum2020!E20-1,0)</f>
        <v>1.1652007076510857</v>
      </c>
      <c r="Q20" s="202">
        <f ca="1">IFERROR(F20/SectorSum2020!F20-1,0)</f>
        <v>0.20502098435711602</v>
      </c>
      <c r="R20" s="225">
        <f ca="1">IFERROR(G20/SectorSum2020!G20-1,0)</f>
        <v>0.21589205397301314</v>
      </c>
      <c r="S20" s="202"/>
    </row>
    <row r="21" spans="1:19" x14ac:dyDescent="0.25">
      <c r="B21" s="212" t="s">
        <v>265</v>
      </c>
      <c r="C21" s="207" cm="1">
        <f t="array" aca="1" ref="C21" ca="1">C$19*INDIRECT("TabSpHt"&amp;$A$1&amp;"!M90")</f>
        <v>5.8345107592367031E-2</v>
      </c>
      <c r="D21" s="207" cm="1">
        <f t="array" aca="1" ref="D21" ca="1">D$19*INDIRECT("TabSpHt"&amp;$A$1&amp;"!K90")</f>
        <v>1.8331999999999999</v>
      </c>
      <c r="E21" s="207" cm="1">
        <f t="array" aca="1" ref="E21" ca="1">E$19*INDIRECT("TabSpHt"&amp;$A$1&amp;"!N90")</f>
        <v>3.6692955160573621</v>
      </c>
      <c r="F21" s="207" cm="1">
        <f t="array" aca="1" ref="F21" ca="1">F$19*INDIRECT("TabSpHt"&amp;$A$1&amp;"!O90")</f>
        <v>0.1036</v>
      </c>
      <c r="G21" s="208" cm="1">
        <f t="array" aca="1" ref="G21" ca="1">G$19*INDIRECT("TabSpHt"&amp;$A$1&amp;"!J90")</f>
        <v>3.5000000000000001E-3</v>
      </c>
      <c r="H21" s="210">
        <f t="shared" ca="1" si="6"/>
        <v>1.9694102683427698E-2</v>
      </c>
      <c r="I21" s="210">
        <f t="shared" ca="1" si="7"/>
        <v>9.7784938406728431E-2</v>
      </c>
      <c r="J21" s="210">
        <f t="shared" ca="1" si="8"/>
        <v>0.22009044558669305</v>
      </c>
      <c r="K21" s="210">
        <f t="shared" ca="1" si="9"/>
        <v>7.4774594565260779E-3</v>
      </c>
      <c r="L21" s="211">
        <f t="shared" ca="1" si="10"/>
        <v>1.1296584365231397E-2</v>
      </c>
      <c r="M21" s="202"/>
      <c r="N21" s="232">
        <f ca="1">IFERROR(C21/SectorSum2020!C21-1,0)</f>
        <v>-8.0952351622022301E-2</v>
      </c>
      <c r="O21" s="202">
        <f ca="1">IFERROR(D21/SectorSum2020!D21-1,0)</f>
        <v>6.7614000349426329E-2</v>
      </c>
      <c r="P21" s="202">
        <f ca="1">IFERROR(E21/SectorSum2020!E21-1,0)</f>
        <v>3.5284086824354466E-2</v>
      </c>
      <c r="Q21" s="202">
        <f ca="1">IFERROR(F21/SectorSum2020!F21-1,0)</f>
        <v>6.2564102564102608E-2</v>
      </c>
      <c r="R21" s="225">
        <f ca="1">IFERROR(G21/SectorSum2020!G21-1,0)</f>
        <v>2.9411764705882248E-2</v>
      </c>
      <c r="S21" s="202"/>
    </row>
    <row r="22" spans="1:19" x14ac:dyDescent="0.25">
      <c r="B22" s="212" t="s">
        <v>266</v>
      </c>
      <c r="C22" s="207" cm="1">
        <f t="array" aca="1" ref="C22" ca="1">C$19*INDIRECT("TabSpHt"&amp;$A$1&amp;"!M91")</f>
        <v>2.1216402760860739E-3</v>
      </c>
      <c r="D22" s="207" cm="1">
        <f t="array" aca="1" ref="D22" ca="1">D$19*INDIRECT("TabSpHt"&amp;$A$1&amp;"!K91")</f>
        <v>1.2000000000000001E-3</v>
      </c>
      <c r="E22" s="207" cm="1">
        <f t="array" aca="1" ref="E22" ca="1">E$19*INDIRECT("TabSpHt"&amp;$A$1&amp;"!N91")</f>
        <v>2.4914259745505958E-3</v>
      </c>
      <c r="F22" s="207" cm="1">
        <f t="array" aca="1" ref="F22" ca="1">F$19*INDIRECT("TabSpHt"&amp;$A$1&amp;"!O91")</f>
        <v>2.5000000000000001E-3</v>
      </c>
      <c r="G22" s="208" cm="1">
        <f t="array" aca="1" ref="G22" ca="1">G$19*INDIRECT("TabSpHt"&amp;$A$1&amp;"!J91")</f>
        <v>2.9999999999999997E-4</v>
      </c>
      <c r="H22" s="210">
        <f t="shared" ca="1" si="6"/>
        <v>7.1614918848828001E-4</v>
      </c>
      <c r="I22" s="210">
        <f t="shared" ca="1" si="7"/>
        <v>6.4009342182017316E-5</v>
      </c>
      <c r="J22" s="210">
        <f t="shared" ca="1" si="8"/>
        <v>1.4943987217314373E-4</v>
      </c>
      <c r="K22" s="210">
        <f t="shared" ca="1" si="9"/>
        <v>1.8044062395091887E-4</v>
      </c>
      <c r="L22" s="211">
        <f t="shared" ca="1" si="10"/>
        <v>9.6827865987697689E-4</v>
      </c>
      <c r="M22" s="202"/>
      <c r="N22" s="232">
        <f ca="1">IFERROR(C22/SectorSum2020!C22-1,0)</f>
        <v>4.1030336253600419E-2</v>
      </c>
      <c r="O22" s="202">
        <f ca="1">IFERROR(D22/SectorSum2020!D22-1,0)</f>
        <v>0</v>
      </c>
      <c r="P22" s="202">
        <f ca="1">IFERROR(E22/SectorSum2020!E22-1,0)</f>
        <v>0.15092192647971148</v>
      </c>
      <c r="Q22" s="202">
        <f ca="1">IFERROR(F22/SectorSum2020!F22-1,0)</f>
        <v>8.6956521739130377E-2</v>
      </c>
      <c r="R22" s="225">
        <f ca="1">IFERROR(G22/SectorSum2020!G22-1,0)</f>
        <v>0</v>
      </c>
      <c r="S22" s="202"/>
    </row>
    <row r="23" spans="1:19" x14ac:dyDescent="0.25">
      <c r="B23" s="212" t="s">
        <v>267</v>
      </c>
      <c r="C23" s="207" cm="1">
        <f t="array" aca="1" ref="C23" ca="1">C$19*INDIRECT("TabSpHt"&amp;$A$1&amp;"!M92")</f>
        <v>4.2963215590742988E-2</v>
      </c>
      <c r="D23" s="207" cm="1">
        <f t="array" aca="1" ref="D23" ca="1">D$19*INDIRECT("TabSpHt"&amp;$A$1&amp;"!K92")</f>
        <v>0.21780000000000002</v>
      </c>
      <c r="E23" s="207" cm="1">
        <f t="array" aca="1" ref="E23" ca="1">E$19*INDIRECT("TabSpHt"&amp;$A$1&amp;"!N92")</f>
        <v>3.7754685922035951E-2</v>
      </c>
      <c r="F23" s="207" cm="1">
        <f t="array" aca="1" ref="F23" ca="1">F$19*INDIRECT("TabSpHt"&amp;$A$1&amp;"!O92")</f>
        <v>1.11E-2</v>
      </c>
      <c r="G23" s="208" cm="1">
        <f t="array" aca="1" ref="G23" ca="1">G$19*INDIRECT("TabSpHt"&amp;$A$1&amp;"!J92")</f>
        <v>3.85E-2</v>
      </c>
      <c r="H23" s="210">
        <f t="shared" ca="1" si="6"/>
        <v>1.4502021066887666E-2</v>
      </c>
      <c r="I23" s="210">
        <f t="shared" ca="1" si="7"/>
        <v>1.1617695606036142E-2</v>
      </c>
      <c r="J23" s="210">
        <f t="shared" ca="1" si="8"/>
        <v>2.264588832162255E-3</v>
      </c>
      <c r="K23" s="210">
        <f t="shared" ca="1" si="9"/>
        <v>8.0115637034207984E-4</v>
      </c>
      <c r="L23" s="211">
        <f t="shared" ca="1" si="10"/>
        <v>0.12426242801754538</v>
      </c>
      <c r="M23" s="202"/>
      <c r="N23" s="232">
        <f ca="1">IFERROR(C23/SectorSum2020!C23-1,0)</f>
        <v>1.5866091176853256</v>
      </c>
      <c r="O23" s="202">
        <f ca="1">IFERROR(D23/SectorSum2020!D23-1,0)</f>
        <v>0</v>
      </c>
      <c r="P23" s="202">
        <f ca="1">IFERROR(E23/SectorSum2020!E23-1,0)</f>
        <v>0.93787708988464269</v>
      </c>
      <c r="Q23" s="202">
        <f ca="1">IFERROR(F23/SectorSum2020!F23-1,0)</f>
        <v>0</v>
      </c>
      <c r="R23" s="225">
        <f ca="1">IFERROR(G23/SectorSum2020!G23-1,0)</f>
        <v>0</v>
      </c>
      <c r="S23" s="202"/>
    </row>
    <row r="24" spans="1:19" x14ac:dyDescent="0.25">
      <c r="B24" s="206" t="s">
        <v>8</v>
      </c>
      <c r="C24" s="207" cm="1">
        <f t="array" aca="1" ref="C24" ca="1">INDIRECT("'"&amp;$A$1&amp;"NRARSummary'!B5")</f>
        <v>0.12551150359422081</v>
      </c>
      <c r="D24" s="207" cm="1">
        <f t="array" aca="1" ref="D24" ca="1">INDIRECT("'"&amp;$A$1&amp;"NRARSummary'!C5")</f>
        <v>0.39703923487485926</v>
      </c>
      <c r="E24" s="207" cm="1">
        <f t="array" aca="1" ref="E24" ca="1">INDIRECT("'"&amp;$A$1&amp;"NRARSummary'!D5")</f>
        <v>3.1311272323311642E-2</v>
      </c>
      <c r="F24" s="207" cm="1">
        <f t="array" aca="1" ref="F24" ca="1">INDIRECT("'"&amp;$A$1&amp;"NRARSummary'!E5")</f>
        <v>2.3318021797360875</v>
      </c>
      <c r="G24" s="208" cm="1">
        <f t="array" aca="1" ref="G24" ca="1">INDIRECT("'"&amp;$A$1&amp;"NRARSummary'!F5")</f>
        <v>5.1452325012667263E-2</v>
      </c>
      <c r="H24" s="210">
        <f t="shared" ca="1" si="6"/>
        <v>4.2365787668191157E-2</v>
      </c>
      <c r="I24" s="210">
        <f t="shared" ca="1" si="7"/>
        <v>2.1178516870659338E-2</v>
      </c>
      <c r="J24" s="210">
        <f t="shared" ca="1" si="8"/>
        <v>1.8781021717565627E-3</v>
      </c>
      <c r="K24" s="210">
        <f t="shared" ca="1" si="9"/>
        <v>0.16830073609667692</v>
      </c>
      <c r="L24" s="211">
        <f t="shared" ca="1" si="10"/>
        <v>0.1660672943694004</v>
      </c>
      <c r="M24" s="202"/>
      <c r="N24" s="232">
        <f ca="1">IFERROR(C24/SectorSum2020!C24-1,0)</f>
        <v>0.10005390311568707</v>
      </c>
      <c r="O24" s="202">
        <f ca="1">IFERROR(D24/SectorSum2020!D24-1,0)</f>
        <v>0.10005390311568685</v>
      </c>
      <c r="P24" s="202">
        <f ca="1">IFERROR(E24/SectorSum2020!E24-1,0)</f>
        <v>0.10005390311568707</v>
      </c>
      <c r="Q24" s="202">
        <f ca="1">IFERROR(F24/SectorSum2020!F24-1,0)</f>
        <v>0.10005390311568663</v>
      </c>
      <c r="R24" s="225">
        <f ca="1">IFERROR(G24/SectorSum2020!G24-1,0)</f>
        <v>0.10005390311568729</v>
      </c>
      <c r="S24" s="202"/>
    </row>
    <row r="25" spans="1:19" x14ac:dyDescent="0.25">
      <c r="A25" s="2"/>
      <c r="B25" s="206" t="s">
        <v>269</v>
      </c>
      <c r="C25" s="207">
        <f ca="1">OFFSET(OnRoad!$B$6,MATCH($A$1,OnRoad!$A$7:$A$17,0),MATCH(C17,OnRoad!$C$6:$I$6,0))</f>
        <v>5.1612391272158692E-2</v>
      </c>
      <c r="D25" s="207">
        <f ca="1">OFFSET(OnRoad!$B$6,MATCH($A$1,OnRoad!$A$7:$A$17,0),MATCH(D17,OnRoad!$C$6:$I$6,0))</f>
        <v>0.64798078877541943</v>
      </c>
      <c r="E25" s="207">
        <f ca="1">OFFSET(OnRoad!$B$6,MATCH($A$1,OnRoad!$A$7:$A$17,0),MATCH(E17,OnRoad!$C$6:$I$6,0))</f>
        <v>2.5017007089312964E-3</v>
      </c>
      <c r="F25" s="207">
        <f ca="1">OFFSET(OnRoad!$B$6,MATCH($A$1,OnRoad!$A$7:$A$17,0),MATCH(F17,OnRoad!$C$6:$I$6,0))</f>
        <v>1.084811021296016</v>
      </c>
      <c r="G25" s="208">
        <f ca="1">OFFSET(OnRoad!$B$6,MATCH($A$1,OnRoad!$A$7:$A$17,0),MATCH(G17,OnRoad!$C$6:$I$6,0))</f>
        <v>3.804129679267361E-2</v>
      </c>
      <c r="H25" s="210">
        <f t="shared" ca="1" si="6"/>
        <v>1.7421507567570563E-2</v>
      </c>
      <c r="I25" s="210">
        <f t="shared" ca="1" si="7"/>
        <v>3.456402003008275E-2</v>
      </c>
      <c r="J25" s="210">
        <f t="shared" ca="1" si="8"/>
        <v>1.5005616782396751E-4</v>
      </c>
      <c r="K25" s="210">
        <f t="shared" ca="1" si="9"/>
        <v>7.8297591020594665E-2</v>
      </c>
      <c r="L25" s="211">
        <f t="shared" ca="1" si="10"/>
        <v>0.12278191959464115</v>
      </c>
      <c r="M25" s="202"/>
      <c r="N25" s="232">
        <f ca="1">IFERROR(C25/SectorSum2020!C25-1,0)</f>
        <v>-0.30134803722366454</v>
      </c>
      <c r="O25" s="202">
        <f ca="1">IFERROR(D25/SectorSum2020!D25-1,0)</f>
        <v>-0.44904986758130072</v>
      </c>
      <c r="P25" s="202">
        <f ca="1">IFERROR(E25/SectorSum2020!E25-1,0)</f>
        <v>-8.8756114488235283E-2</v>
      </c>
      <c r="Q25" s="202">
        <f ca="1">IFERROR(F25/SectorSum2020!F25-1,0)</f>
        <v>-0.23826174933446076</v>
      </c>
      <c r="R25" s="225">
        <f ca="1">IFERROR(G25/SectorSum2020!G25-1,0)</f>
        <v>-4.3138738061021642E-2</v>
      </c>
      <c r="S25" s="202"/>
    </row>
    <row r="26" spans="1:19" x14ac:dyDescent="0.25">
      <c r="A26" s="2"/>
      <c r="B26" s="206" t="s">
        <v>270</v>
      </c>
      <c r="C26" s="207" cm="1">
        <f t="array" aca="1" ref="C26" ca="1">INDIRECT("'"&amp;$A$1&amp;"NRARSummary'!B8")</f>
        <v>0.1247924994040174</v>
      </c>
      <c r="D26" s="207" cm="1">
        <f t="array" aca="1" ref="D26" ca="1">INDIRECT("'"&amp;$A$1&amp;"NRARSummary'!C8")</f>
        <v>0.44836470124966848</v>
      </c>
      <c r="E26" s="207" cm="1">
        <f t="array" aca="1" ref="E26" ca="1">INDIRECT("'"&amp;$A$1&amp;"NRARSummary'!D8")</f>
        <v>5.6952269924118308</v>
      </c>
      <c r="F26" s="207" cm="1">
        <f t="array" aca="1" ref="F26" ca="1">INDIRECT("'"&amp;$A$1&amp;"NRARSummary'!E8")</f>
        <v>0.16601132356379883</v>
      </c>
      <c r="G26" s="208" cm="1">
        <f t="array" aca="1" ref="G26" ca="1">INDIRECT("'"&amp;$A$1&amp;"NRARSummary'!F8")</f>
        <v>0</v>
      </c>
      <c r="H26" s="210">
        <f t="shared" ca="1" si="6"/>
        <v>4.2123091357634805E-2</v>
      </c>
      <c r="I26" s="210">
        <f t="shared" ca="1" si="7"/>
        <v>2.3916274653856661E-2</v>
      </c>
      <c r="J26" s="210">
        <f t="shared" ca="1" si="8"/>
        <v>0.34160918383159361</v>
      </c>
      <c r="K26" s="210">
        <f t="shared" ca="1" si="9"/>
        <v>1.1982074722707896E-2</v>
      </c>
      <c r="L26" s="211">
        <f t="shared" ca="1" si="10"/>
        <v>0</v>
      </c>
      <c r="M26" s="202"/>
      <c r="N26" s="232">
        <f ca="1">IFERROR(C26/SectorSum2020!C26-1,0)</f>
        <v>5.1746670214997792E-2</v>
      </c>
      <c r="O26" s="202">
        <f ca="1">IFERROR(D26/SectorSum2020!D26-1,0)</f>
        <v>3.4307094311776476E-2</v>
      </c>
      <c r="P26" s="202">
        <f ca="1">IFERROR(E26/SectorSum2020!E26-1,0)</f>
        <v>4.6721029052193996E-2</v>
      </c>
      <c r="Q26" s="202">
        <f ca="1">IFERROR(F26/SectorSum2020!F26-1,0)</f>
        <v>7.1983182072498986E-2</v>
      </c>
      <c r="R26" s="225">
        <f ca="1">IFERROR(G26/SectorSum2020!G26-1,0)</f>
        <v>0</v>
      </c>
      <c r="S26" s="202"/>
    </row>
    <row r="27" spans="1:19" x14ac:dyDescent="0.25">
      <c r="B27" s="214" t="s">
        <v>271</v>
      </c>
      <c r="C27" s="215" cm="1">
        <f t="array" aca="1" ref="C27" ca="1">INDIRECT("'"&amp;$A$1&amp;"NRARSummary'!B9")-INDIRECT("'"&amp;$A$1&amp;"NRARSummary'!B8")</f>
        <v>7.6903436266314074E-2</v>
      </c>
      <c r="D27" s="215" cm="1">
        <f t="array" aca="1" ref="D27" ca="1">INDIRECT("'"&amp;$A$1&amp;"NRARSummary'!C9")-INDIRECT("'"&amp;$A$1&amp;"NRARSummary'!C8")</f>
        <v>0.32048242495938567</v>
      </c>
      <c r="E27" s="215" cm="1">
        <f t="array" aca="1" ref="E27" ca="1">INDIRECT("'"&amp;$A$1&amp;"NRARSummary'!D9")-INDIRECT("'"&amp;$A$1&amp;"NRARSummary'!D8")</f>
        <v>2.2725169530355416E-3</v>
      </c>
      <c r="F27" s="215" cm="1">
        <f t="array" aca="1" ref="F27" ca="1">INDIRECT("'"&amp;$A$1&amp;"NRARSummary'!E9")-INDIRECT("'"&amp;$A$1&amp;"NRARSummary'!E8")</f>
        <v>2.2178396499350055</v>
      </c>
      <c r="G27" s="216" cm="1">
        <f t="array" aca="1" ref="G27" ca="1">INDIRECT("'"&amp;$A$1&amp;"NRARSummary'!F9")-INDIRECT("'"&amp;$A$1&amp;"NRARSummary'!F8")</f>
        <v>1.5319599897318239E-3</v>
      </c>
      <c r="H27" s="217">
        <f t="shared" ca="1" si="6"/>
        <v>2.5958374798427254E-2</v>
      </c>
      <c r="I27" s="217">
        <f t="shared" ca="1" si="7"/>
        <v>1.7094891002123334E-2</v>
      </c>
      <c r="J27" s="217">
        <f t="shared" ca="1" si="8"/>
        <v>1.3630934510674812E-4</v>
      </c>
      <c r="K27" s="217">
        <f t="shared" ca="1" si="9"/>
        <v>0.16007534810294394</v>
      </c>
      <c r="L27" s="218">
        <f t="shared" ca="1" si="10"/>
        <v>4.9445472194755927E-3</v>
      </c>
      <c r="M27" s="202"/>
      <c r="N27" s="233">
        <f ca="1">IFERROR(C27/SectorSum2020!C27-1,0)</f>
        <v>-0.14477367713649381</v>
      </c>
      <c r="O27" s="226">
        <f ca="1">IFERROR(D27/SectorSum2020!D27-1,0)</f>
        <v>0.12309458372431226</v>
      </c>
      <c r="P27" s="226">
        <f ca="1">IFERROR(E27/SectorSum2020!E27-1,0)</f>
        <v>0</v>
      </c>
      <c r="Q27" s="226">
        <f ca="1">IFERROR(F27/SectorSum2020!F27-1,0)</f>
        <v>-0.16101650400873224</v>
      </c>
      <c r="R27" s="227">
        <f ca="1">IFERROR(G27/SectorSum2020!G27-1,0)</f>
        <v>3.2788026313964158E-2</v>
      </c>
      <c r="S27" s="202"/>
    </row>
    <row r="28" spans="1:19" x14ac:dyDescent="0.25">
      <c r="B28" s="219" t="s">
        <v>10</v>
      </c>
      <c r="C28" s="220">
        <f ca="1">SUM(C18:C19,C24:C27)</f>
        <v>2.9625674512941171</v>
      </c>
      <c r="D28" s="220">
        <f ca="1">SUM(D18:D19,D24:D27)</f>
        <v>18.7472634320733</v>
      </c>
      <c r="E28" s="220">
        <f ca="1">SUM(E18:E19,E24:E27)</f>
        <v>16.671761948939469</v>
      </c>
      <c r="F28" s="220">
        <f ca="1">SUM(F18:F19,F24:F27)</f>
        <v>13.85497314994886</v>
      </c>
      <c r="G28" s="221">
        <f ca="1">SUM(G18:G19,G24:G27)</f>
        <v>0.30982816458860718</v>
      </c>
      <c r="H28" s="222">
        <f t="shared" ca="1" si="6"/>
        <v>1</v>
      </c>
      <c r="I28" s="222">
        <f t="shared" ca="1" si="7"/>
        <v>1</v>
      </c>
      <c r="J28" s="222">
        <f t="shared" ca="1" si="8"/>
        <v>1</v>
      </c>
      <c r="K28" s="222">
        <f t="shared" ca="1" si="9"/>
        <v>1</v>
      </c>
      <c r="L28" s="223">
        <f t="shared" ca="1" si="10"/>
        <v>1</v>
      </c>
      <c r="M28" s="202"/>
      <c r="N28" s="234">
        <f ca="1">IFERROR(C28/SectorSum2020!C28-1,0)</f>
        <v>4.3764677862716539E-3</v>
      </c>
      <c r="O28" s="228">
        <f ca="1">IFERROR(D28/SectorSum2020!D28-1,0)</f>
        <v>4.3773361132395605E-2</v>
      </c>
      <c r="P28" s="228">
        <f ca="1">IFERROR(E28/SectorSum2020!E28-1,0)</f>
        <v>6.1413912982829721E-2</v>
      </c>
      <c r="Q28" s="228">
        <f ca="1">IFERROR(F28/SectorSum2020!F28-1,0)</f>
        <v>6.2180002429560455E-2</v>
      </c>
      <c r="R28" s="229">
        <f ca="1">IFERROR(G28/SectorSum2020!G28-1,0)</f>
        <v>8.596016204594803E-2</v>
      </c>
      <c r="S28" s="202"/>
    </row>
    <row r="29" spans="1:19" x14ac:dyDescent="0.25">
      <c r="M29" s="202"/>
      <c r="N29" s="202"/>
      <c r="O29" s="202"/>
      <c r="P29" s="202"/>
      <c r="Q29" s="202"/>
      <c r="R29" s="202"/>
      <c r="S29" s="202"/>
    </row>
    <row r="30" spans="1:19" x14ac:dyDescent="0.25">
      <c r="E30" s="213"/>
      <c r="M30" s="202"/>
      <c r="N30" s="202"/>
      <c r="O30" s="202"/>
      <c r="P30" s="202"/>
      <c r="Q30" s="202"/>
      <c r="R30" s="202"/>
      <c r="S30" s="202"/>
    </row>
    <row r="31" spans="1:19" x14ac:dyDescent="0.25">
      <c r="M31" s="202"/>
      <c r="N31" s="202"/>
      <c r="O31" s="202"/>
      <c r="P31" s="202"/>
      <c r="Q31" s="202"/>
      <c r="R31" s="202"/>
      <c r="S31" s="202"/>
    </row>
    <row r="32" spans="1:19" x14ac:dyDescent="0.25">
      <c r="M32" s="202"/>
      <c r="N32" s="202"/>
      <c r="O32" s="202"/>
      <c r="P32" s="202"/>
      <c r="Q32" s="202"/>
      <c r="R32" s="202"/>
      <c r="S32" s="202"/>
    </row>
  </sheetData>
  <sheetProtection algorithmName="SHA-512" hashValue="drK87JOvM77DwInOgbs14rwVnRy0RunLaGsxMOtf7zmA0dsahbzoyBam8m1/NxydJpYC3owoFM7YweSCoRk6yw==" saltValue="NSDy3u6oXn8sPoo0BkxrAg==" spinCount="100000" sheet="1" objects="1" scenarios="1"/>
  <mergeCells count="11">
    <mergeCell ref="T16:AA16"/>
    <mergeCell ref="AB16:AI16"/>
    <mergeCell ref="AJ16:AQ16"/>
    <mergeCell ref="AR16:AY16"/>
    <mergeCell ref="AZ16:BG16"/>
    <mergeCell ref="C1:G1"/>
    <mergeCell ref="H1:L1"/>
    <mergeCell ref="N1:R1"/>
    <mergeCell ref="C16:G16"/>
    <mergeCell ref="H16:L16"/>
    <mergeCell ref="N16:R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6871-160E-47D8-823A-FCB5D7AEE3FF}">
  <sheetPr codeName="Sheet8"/>
  <dimension ref="A1:F25"/>
  <sheetViews>
    <sheetView workbookViewId="0">
      <selection sqref="A1:F1"/>
    </sheetView>
  </sheetViews>
  <sheetFormatPr defaultRowHeight="15" x14ac:dyDescent="0.25"/>
  <cols>
    <col min="2" max="2" width="34.140625" customWidth="1"/>
  </cols>
  <sheetData>
    <row r="1" spans="1:6" ht="15.75" x14ac:dyDescent="0.25">
      <c r="A1" s="261" t="s">
        <v>175</v>
      </c>
      <c r="B1" s="261"/>
      <c r="C1" s="261"/>
      <c r="D1" s="261"/>
      <c r="E1" s="261"/>
      <c r="F1" s="261"/>
    </row>
    <row r="2" spans="1:6" ht="15.75" x14ac:dyDescent="0.25">
      <c r="A2" s="261" t="s">
        <v>176</v>
      </c>
      <c r="B2" s="261"/>
      <c r="C2" s="261"/>
      <c r="D2" s="261"/>
      <c r="E2" s="261"/>
      <c r="F2" s="261"/>
    </row>
    <row r="3" spans="1:6" x14ac:dyDescent="0.25">
      <c r="A3" s="259" t="s">
        <v>183</v>
      </c>
      <c r="B3" s="259"/>
      <c r="C3" s="259"/>
      <c r="D3" s="259"/>
      <c r="E3" s="259"/>
      <c r="F3" s="259"/>
    </row>
    <row r="5" spans="1:6" x14ac:dyDescent="0.25">
      <c r="C5" s="277" t="s">
        <v>177</v>
      </c>
      <c r="D5" s="277"/>
      <c r="E5" s="277"/>
    </row>
    <row r="6" spans="1:6" ht="18" x14ac:dyDescent="0.35">
      <c r="A6" s="7" t="s">
        <v>67</v>
      </c>
      <c r="B6" s="8"/>
      <c r="C6" s="7" t="s">
        <v>178</v>
      </c>
      <c r="D6" s="7" t="s">
        <v>179</v>
      </c>
    </row>
    <row r="7" spans="1:6" x14ac:dyDescent="0.25">
      <c r="A7" s="4">
        <v>2020</v>
      </c>
      <c r="B7" t="s">
        <v>180</v>
      </c>
      <c r="C7" s="108">
        <f ca="1">OFFSET('Emis-Rev5Pct'!$B$12,0,MATCH($A7,'Emis-Rev5Pct'!$C$5:$L$5,0))</f>
        <v>2.9496583664727427</v>
      </c>
      <c r="D7" s="108">
        <f ca="1">OFFSET('Emis-Rev5Pct'!$B$30,0,MATCH($A7,'Emis-Rev5Pct'!$C$23:$L$23,0))</f>
        <v>15.707125886533547</v>
      </c>
    </row>
    <row r="8" spans="1:6" x14ac:dyDescent="0.25">
      <c r="A8" s="4">
        <v>2026</v>
      </c>
      <c r="B8" t="s">
        <v>181</v>
      </c>
      <c r="C8" s="108">
        <f ca="1">OFFSET('Emis-Rev5Pct'!$B$12,0,MATCH($A8,'Emis-Rev5Pct'!$C$5:$L$5,0))</f>
        <v>1.9380692156922648</v>
      </c>
      <c r="D8" s="108">
        <f ca="1">OFFSET('Emis-Rev5Pct'!$B$30,0,MATCH($A8,'Emis-Rev5Pct'!$C$23:$L$23,0))</f>
        <v>14.766359547860596</v>
      </c>
    </row>
    <row r="9" spans="1:6" x14ac:dyDescent="0.25">
      <c r="A9" s="4">
        <v>2027</v>
      </c>
      <c r="B9" t="s">
        <v>181</v>
      </c>
      <c r="C9" s="108">
        <f ca="1">OFFSET('Emis-Rev5Pct'!$B$12,0,MATCH($A9,'Emis-Rev5Pct'!$C$5:$L$5,0))</f>
        <v>1.741867451294117</v>
      </c>
      <c r="D9" s="108">
        <f ca="1">OFFSET('Emis-Rev5Pct'!$B$30,0,MATCH($A9,'Emis-Rev5Pct'!$C$23:$L$23,0))</f>
        <v>14.856761948939468</v>
      </c>
    </row>
    <row r="10" spans="1:6" x14ac:dyDescent="0.25">
      <c r="A10" s="4">
        <v>2028</v>
      </c>
      <c r="B10" t="s">
        <v>181</v>
      </c>
      <c r="C10" s="108">
        <f ca="1">OFFSET('Emis-Rev5Pct'!$B$12,0,MATCH($A10,'Emis-Rev5Pct'!$C$5:$L$5,0))</f>
        <v>1.684394528114022</v>
      </c>
      <c r="D10" s="108">
        <f ca="1">OFFSET('Emis-Rev5Pct'!$B$30,0,MATCH($A10,'Emis-Rev5Pct'!$C$23:$L$23,0))</f>
        <v>14.948016637315725</v>
      </c>
    </row>
    <row r="11" spans="1:6" x14ac:dyDescent="0.25">
      <c r="A11" s="7">
        <v>2029</v>
      </c>
      <c r="B11" s="8" t="s">
        <v>181</v>
      </c>
      <c r="C11" s="109">
        <f ca="1">OFFSET('Emis-Rev5Pct'!$B$12,0,MATCH($A11,'Emis-Rev5Pct'!$C$5:$L$5,0))</f>
        <v>1.6225904178022112</v>
      </c>
      <c r="D11" s="109">
        <f ca="1">OFFSET('Emis-Rev5Pct'!$B$30,0,MATCH($A11,'Emis-Rev5Pct'!$C$23:$L$23,0))</f>
        <v>15.038965962907451</v>
      </c>
    </row>
    <row r="12" spans="1:6" x14ac:dyDescent="0.25">
      <c r="A12" s="4"/>
      <c r="C12" s="108"/>
      <c r="D12" s="108"/>
    </row>
    <row r="13" spans="1:6" x14ac:dyDescent="0.25">
      <c r="A13" s="4">
        <f>A8</f>
        <v>2026</v>
      </c>
      <c r="B13" t="s">
        <v>182</v>
      </c>
      <c r="C13" s="108">
        <f ca="1">C$7-C8</f>
        <v>1.011589150780478</v>
      </c>
      <c r="D13" s="108">
        <f ca="1">D$7-D8</f>
        <v>0.94076633867295101</v>
      </c>
    </row>
    <row r="14" spans="1:6" x14ac:dyDescent="0.25">
      <c r="A14" s="4">
        <f t="shared" ref="A14:A16" si="0">A9</f>
        <v>2027</v>
      </c>
      <c r="B14" t="s">
        <v>182</v>
      </c>
      <c r="C14" s="108">
        <f t="shared" ref="C14:D14" ca="1" si="1">C$7-C9</f>
        <v>1.2077909151786257</v>
      </c>
      <c r="D14" s="108">
        <f t="shared" ca="1" si="1"/>
        <v>0.85036393759407858</v>
      </c>
    </row>
    <row r="15" spans="1:6" x14ac:dyDescent="0.25">
      <c r="A15" s="4">
        <f t="shared" si="0"/>
        <v>2028</v>
      </c>
      <c r="B15" t="s">
        <v>182</v>
      </c>
      <c r="C15" s="108">
        <f t="shared" ref="C15:D15" ca="1" si="2">C$7-C10</f>
        <v>1.2652638383587207</v>
      </c>
      <c r="D15" s="108">
        <f t="shared" ca="1" si="2"/>
        <v>0.75910924921782197</v>
      </c>
    </row>
    <row r="16" spans="1:6" x14ac:dyDescent="0.25">
      <c r="A16" s="4">
        <f t="shared" si="0"/>
        <v>2029</v>
      </c>
      <c r="B16" t="s">
        <v>182</v>
      </c>
      <c r="C16" s="108">
        <f t="shared" ref="C16:D16" ca="1" si="3">C$7-C11</f>
        <v>1.3270679486705315</v>
      </c>
      <c r="D16" s="108">
        <f t="shared" ca="1" si="3"/>
        <v>0.66815992362609578</v>
      </c>
    </row>
    <row r="17" spans="2:6" x14ac:dyDescent="0.25">
      <c r="C17" s="108"/>
      <c r="D17" s="108"/>
    </row>
    <row r="18" spans="2:6" x14ac:dyDescent="0.25">
      <c r="C18" s="276" t="s">
        <v>258</v>
      </c>
      <c r="D18" s="276"/>
      <c r="E18" s="276"/>
      <c r="F18" s="276"/>
    </row>
    <row r="19" spans="2:6" x14ac:dyDescent="0.25">
      <c r="C19" s="260" t="s">
        <v>249</v>
      </c>
      <c r="D19" s="260"/>
      <c r="E19" s="275" t="s">
        <v>248</v>
      </c>
      <c r="F19" s="275"/>
    </row>
    <row r="20" spans="2:6" x14ac:dyDescent="0.25">
      <c r="C20" s="260" t="s">
        <v>251</v>
      </c>
      <c r="D20" s="260"/>
      <c r="E20" s="275" t="s">
        <v>250</v>
      </c>
      <c r="F20" s="275"/>
    </row>
    <row r="21" spans="2:6" ht="18" x14ac:dyDescent="0.35">
      <c r="B21" s="177" t="s">
        <v>252</v>
      </c>
      <c r="C21" s="177" t="s">
        <v>253</v>
      </c>
      <c r="D21" s="177" t="s">
        <v>254</v>
      </c>
      <c r="E21" s="7" t="s">
        <v>178</v>
      </c>
      <c r="F21" s="7" t="s">
        <v>179</v>
      </c>
    </row>
    <row r="22" spans="2:6" x14ac:dyDescent="0.25">
      <c r="B22" s="4">
        <v>2026</v>
      </c>
      <c r="C22" s="72">
        <f t="shared" ref="C22:D22" ca="1" si="4">((C$7-C8)/($A8-$A$7))*C8/C$7</f>
        <v>0.11077722391742401</v>
      </c>
      <c r="D22" s="72">
        <f t="shared" ca="1" si="4"/>
        <v>0.14740330925510253</v>
      </c>
      <c r="E22" s="108">
        <f t="shared" ref="E22:F22" ca="1" si="5">(C$7-C8)/($A8-$A$7)</f>
        <v>0.16859819179674632</v>
      </c>
      <c r="F22" s="108">
        <f t="shared" ca="1" si="5"/>
        <v>0.15679438977882518</v>
      </c>
    </row>
    <row r="23" spans="2:6" x14ac:dyDescent="0.25">
      <c r="B23" s="182">
        <v>2027</v>
      </c>
      <c r="C23" s="183">
        <f t="shared" ref="C23:D23" ca="1" si="6">((C$7-C9)/($A9-$A$7))*C9/C$7</f>
        <v>0.10189130021832517</v>
      </c>
      <c r="D23" s="183">
        <f t="shared" ca="1" si="6"/>
        <v>0.11490375844206997</v>
      </c>
      <c r="E23" s="108">
        <f t="shared" ref="E23:F23" ca="1" si="7">(C$7-C9)/($A9-$A$7)</f>
        <v>0.17254155931123225</v>
      </c>
      <c r="F23" s="108">
        <f t="shared" ca="1" si="7"/>
        <v>0.12148056251343979</v>
      </c>
    </row>
    <row r="24" spans="2:6" x14ac:dyDescent="0.25">
      <c r="B24" s="4">
        <v>2028</v>
      </c>
      <c r="C24" s="72">
        <f t="shared" ref="C24:D24" ca="1" si="8">((C$7-C10)/($A10-$A$7))*C10/C$7</f>
        <v>9.0315691732993253E-2</v>
      </c>
      <c r="D24" s="72">
        <f t="shared" ca="1" si="8"/>
        <v>9.0302784933562516E-2</v>
      </c>
      <c r="E24" s="108">
        <f t="shared" ref="E24:F24" ca="1" si="9">(C$7-C10)/($A10-$A$7)</f>
        <v>0.15815797979484009</v>
      </c>
      <c r="F24" s="108">
        <f t="shared" ca="1" si="9"/>
        <v>9.4888656152227746E-2</v>
      </c>
    </row>
    <row r="25" spans="2:6" x14ac:dyDescent="0.25">
      <c r="B25" s="4">
        <v>2029</v>
      </c>
      <c r="C25" s="72">
        <f ca="1">((C$7-C11)/($A11-$A$7))*C11/C$7</f>
        <v>8.1112509757459872E-2</v>
      </c>
      <c r="D25" s="72">
        <f ca="1">((D$7-D11)/($A11-$A$7))*D11/D$7</f>
        <v>7.1081922531923261E-2</v>
      </c>
      <c r="E25" s="108">
        <f ca="1">(C$7-C11)/($A11-$A$7)</f>
        <v>0.14745199429672573</v>
      </c>
      <c r="F25" s="108">
        <f ca="1">(D$7-D11)/($A11-$A$7)</f>
        <v>7.4239991514010645E-2</v>
      </c>
    </row>
  </sheetData>
  <sheetProtection algorithmName="SHA-512" hashValue="V3chENVD7WES25G9SrMeWUqFsV/9I5lrCNY7jOAcXzM43l+1jufc2iwZe+W4lOiS72qe5RZ+P3K2bZmwZ8IhFQ==" saltValue="JDaHSNSatIxH+2JpRnGQsA==" spinCount="100000" sheet="1" objects="1" scenarios="1"/>
  <mergeCells count="9">
    <mergeCell ref="E20:F20"/>
    <mergeCell ref="C19:D19"/>
    <mergeCell ref="C20:D20"/>
    <mergeCell ref="C18:F18"/>
    <mergeCell ref="A1:F1"/>
    <mergeCell ref="A2:F2"/>
    <mergeCell ref="A3:F3"/>
    <mergeCell ref="C5:E5"/>
    <mergeCell ref="E19:F19"/>
  </mergeCells>
  <printOptions horizontalCentered="1"/>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33860-B8C0-4BBF-AC4C-8E3EB00C317C}">
  <sheetPr codeName="Sheet9"/>
  <dimension ref="A1:P15"/>
  <sheetViews>
    <sheetView workbookViewId="0">
      <selection sqref="A1:P1"/>
    </sheetView>
  </sheetViews>
  <sheetFormatPr defaultRowHeight="15" x14ac:dyDescent="0.25"/>
  <sheetData>
    <row r="1" spans="1:16" ht="18.75" x14ac:dyDescent="0.3">
      <c r="A1" s="278" t="s">
        <v>161</v>
      </c>
      <c r="B1" s="278"/>
      <c r="C1" s="278"/>
      <c r="D1" s="278"/>
      <c r="E1" s="278"/>
      <c r="F1" s="278"/>
      <c r="G1" s="278"/>
      <c r="H1" s="278"/>
      <c r="I1" s="278"/>
      <c r="J1" s="278"/>
      <c r="K1" s="278"/>
      <c r="L1" s="278"/>
      <c r="M1" s="278"/>
      <c r="N1" s="278"/>
      <c r="O1" s="278"/>
      <c r="P1" s="278"/>
    </row>
    <row r="2" spans="1:16" x14ac:dyDescent="0.25">
      <c r="A2" s="259" t="s">
        <v>236</v>
      </c>
      <c r="B2" s="259"/>
      <c r="C2" s="259"/>
      <c r="D2" s="259"/>
      <c r="E2" s="259"/>
      <c r="F2" s="259"/>
      <c r="G2" s="259"/>
      <c r="H2" s="259"/>
      <c r="I2" s="259"/>
      <c r="J2" s="259"/>
      <c r="K2" s="259"/>
      <c r="L2" s="259"/>
      <c r="M2" s="259"/>
      <c r="N2" s="259"/>
      <c r="O2" s="259"/>
      <c r="P2" s="259"/>
    </row>
    <row r="3" spans="1:16" x14ac:dyDescent="0.25">
      <c r="I3" s="4"/>
      <c r="P3" s="4" t="s">
        <v>162</v>
      </c>
    </row>
    <row r="4" spans="1:16" x14ac:dyDescent="0.25">
      <c r="A4" s="4" t="s">
        <v>63</v>
      </c>
      <c r="B4" s="279" t="s">
        <v>163</v>
      </c>
      <c r="C4" s="279"/>
      <c r="D4" s="279"/>
      <c r="E4" s="279"/>
      <c r="F4" s="279"/>
      <c r="G4" s="279"/>
      <c r="H4" s="279"/>
      <c r="I4" s="277" t="s">
        <v>164</v>
      </c>
      <c r="J4" s="277"/>
      <c r="K4" s="277"/>
      <c r="L4" s="277"/>
      <c r="M4" s="277"/>
      <c r="N4" s="277"/>
      <c r="O4" s="277"/>
      <c r="P4" s="4" t="s">
        <v>165</v>
      </c>
    </row>
    <row r="5" spans="1:16" ht="15.75" thickBot="1" x14ac:dyDescent="0.3">
      <c r="A5" s="5" t="s">
        <v>67</v>
      </c>
      <c r="B5" s="5" t="s">
        <v>12</v>
      </c>
      <c r="C5" s="5" t="s">
        <v>13</v>
      </c>
      <c r="D5" s="121" t="s">
        <v>4</v>
      </c>
      <c r="E5" s="5" t="s">
        <v>3</v>
      </c>
      <c r="F5" s="5" t="s">
        <v>5</v>
      </c>
      <c r="G5" s="5" t="s">
        <v>14</v>
      </c>
      <c r="H5" s="5" t="s">
        <v>6</v>
      </c>
      <c r="I5" s="5" t="s">
        <v>12</v>
      </c>
      <c r="J5" s="5" t="s">
        <v>13</v>
      </c>
      <c r="K5" s="121" t="s">
        <v>4</v>
      </c>
      <c r="L5" s="5" t="s">
        <v>3</v>
      </c>
      <c r="M5" s="5" t="s">
        <v>5</v>
      </c>
      <c r="N5" s="5" t="s">
        <v>14</v>
      </c>
      <c r="O5" s="5" t="s">
        <v>6</v>
      </c>
      <c r="P5" s="5" t="s">
        <v>166</v>
      </c>
    </row>
    <row r="6" spans="1:16" ht="15.75" thickTop="1" x14ac:dyDescent="0.25">
      <c r="A6" s="4">
        <v>2020</v>
      </c>
      <c r="B6" s="2">
        <v>0.57888435044623021</v>
      </c>
      <c r="C6" s="2">
        <v>0.62343610223841106</v>
      </c>
      <c r="D6" s="122">
        <v>6.6268895078480279</v>
      </c>
      <c r="E6" s="2">
        <v>13.537956387411262</v>
      </c>
      <c r="F6" s="2">
        <v>3.8313242904623623E-2</v>
      </c>
      <c r="G6" s="2">
        <v>4.6146361673404126</v>
      </c>
      <c r="H6" s="2">
        <v>8.8391226532811992E-2</v>
      </c>
      <c r="I6" s="95">
        <v>1</v>
      </c>
      <c r="J6" s="95">
        <v>1</v>
      </c>
      <c r="K6" s="123">
        <v>1</v>
      </c>
      <c r="L6" s="95">
        <v>1</v>
      </c>
      <c r="M6" s="95">
        <v>1</v>
      </c>
      <c r="N6" s="95">
        <v>1</v>
      </c>
      <c r="O6" s="95">
        <v>1</v>
      </c>
      <c r="P6" s="95">
        <v>1</v>
      </c>
    </row>
    <row r="7" spans="1:16" x14ac:dyDescent="0.25">
      <c r="A7" s="4">
        <v>2021</v>
      </c>
      <c r="B7" s="2">
        <v>0.59579328915866736</v>
      </c>
      <c r="C7" s="2">
        <v>0.64164637659760615</v>
      </c>
      <c r="D7" s="122">
        <v>6.8204578232739177</v>
      </c>
      <c r="E7" s="2">
        <v>13.93339370519312</v>
      </c>
      <c r="F7" s="2">
        <v>3.943235465060458E-2</v>
      </c>
      <c r="G7" s="2">
        <v>4.7494275122327023</v>
      </c>
      <c r="H7" s="2">
        <v>9.0973092549760354E-2</v>
      </c>
      <c r="I7" s="95">
        <v>1.0292095281197409</v>
      </c>
      <c r="J7" s="95">
        <v>1.0292095281197418</v>
      </c>
      <c r="K7" s="123">
        <v>1.0292095281197389</v>
      </c>
      <c r="L7" s="95">
        <v>1.0292095281197366</v>
      </c>
      <c r="M7" s="95">
        <v>1.029209528119738</v>
      </c>
      <c r="N7" s="95">
        <v>1.029209528119738</v>
      </c>
      <c r="O7" s="95">
        <v>1.0292095281197386</v>
      </c>
      <c r="P7" s="95">
        <v>1.0292095281197389</v>
      </c>
    </row>
    <row r="8" spans="1:16" x14ac:dyDescent="0.25">
      <c r="A8" s="4">
        <v>2022</v>
      </c>
      <c r="B8" s="2">
        <v>0.60321767124376358</v>
      </c>
      <c r="C8" s="2">
        <v>0.64964214954446964</v>
      </c>
      <c r="D8" s="122">
        <v>6.9054498596004308</v>
      </c>
      <c r="E8" s="2">
        <v>14.107022446053078</v>
      </c>
      <c r="F8" s="2">
        <v>3.9923734585169623E-2</v>
      </c>
      <c r="G8" s="2">
        <v>4.8086117380001214</v>
      </c>
      <c r="H8" s="2">
        <v>9.2106739085970793E-2</v>
      </c>
      <c r="I8" s="95">
        <v>1.0420348568393258</v>
      </c>
      <c r="J8" s="95">
        <v>1.0420348568393254</v>
      </c>
      <c r="K8" s="123">
        <v>1.042034856839323</v>
      </c>
      <c r="L8" s="95">
        <v>1.0420348568393218</v>
      </c>
      <c r="M8" s="95">
        <v>1.0420348568393214</v>
      </c>
      <c r="N8" s="95">
        <v>1.0420348568393214</v>
      </c>
      <c r="O8" s="95">
        <v>1.0420348568393216</v>
      </c>
      <c r="P8" s="95">
        <v>1.042034856839323</v>
      </c>
    </row>
    <row r="9" spans="1:16" x14ac:dyDescent="0.25">
      <c r="A9" s="4">
        <v>2023</v>
      </c>
      <c r="B9" s="2">
        <v>0.60729481582339451</v>
      </c>
      <c r="C9" s="2">
        <v>0.65403307689123347</v>
      </c>
      <c r="D9" s="122">
        <v>6.9521237532994364</v>
      </c>
      <c r="E9" s="2">
        <v>14.202371725165031</v>
      </c>
      <c r="F9" s="2">
        <v>4.0193578864974974E-2</v>
      </c>
      <c r="G9" s="2">
        <v>4.8411131155587785</v>
      </c>
      <c r="H9" s="2">
        <v>9.2729287976552263E-2</v>
      </c>
      <c r="I9" s="95">
        <v>1.0490779641136683</v>
      </c>
      <c r="J9" s="95">
        <v>1.0490779641136689</v>
      </c>
      <c r="K9" s="123">
        <v>1.049077964113668</v>
      </c>
      <c r="L9" s="95">
        <v>1.0490779641136678</v>
      </c>
      <c r="M9" s="95">
        <v>1.0490779641136676</v>
      </c>
      <c r="N9" s="95">
        <v>1.0490779641136678</v>
      </c>
      <c r="O9" s="95">
        <v>1.0490779641136661</v>
      </c>
      <c r="P9" s="95">
        <v>1.049077964113668</v>
      </c>
    </row>
    <row r="10" spans="1:16" x14ac:dyDescent="0.25">
      <c r="A10" s="4">
        <v>2024</v>
      </c>
      <c r="B10" s="2">
        <v>0.61151708372888913</v>
      </c>
      <c r="C10" s="2">
        <v>0.65858029645862892</v>
      </c>
      <c r="D10" s="122">
        <v>7.0004589740748484</v>
      </c>
      <c r="E10" s="2">
        <v>14.30111490023358</v>
      </c>
      <c r="F10" s="2">
        <v>4.0473028077493756E-2</v>
      </c>
      <c r="G10" s="2">
        <v>4.8747713586428763</v>
      </c>
      <c r="H10" s="2">
        <v>9.3373996092480899E-2</v>
      </c>
      <c r="I10" s="95">
        <v>1.0563717662388077</v>
      </c>
      <c r="J10" s="95">
        <v>1.0563717662388088</v>
      </c>
      <c r="K10" s="123">
        <v>1.0563717662388084</v>
      </c>
      <c r="L10" s="95">
        <v>1.0563717662388075</v>
      </c>
      <c r="M10" s="95">
        <v>1.0563717662388086</v>
      </c>
      <c r="N10" s="95">
        <v>1.0563717662388081</v>
      </c>
      <c r="O10" s="95">
        <v>1.0563717662388046</v>
      </c>
      <c r="P10" s="95">
        <v>1.0563717662388084</v>
      </c>
    </row>
    <row r="11" spans="1:16" x14ac:dyDescent="0.25">
      <c r="A11" s="4">
        <v>2025</v>
      </c>
      <c r="B11" s="2">
        <v>0.6158409379624934</v>
      </c>
      <c r="C11" s="2">
        <v>0.66323692058047168</v>
      </c>
      <c r="D11" s="122">
        <v>7.0499571238037939</v>
      </c>
      <c r="E11" s="2">
        <v>14.402233802471866</v>
      </c>
      <c r="F11" s="2">
        <v>4.0759200742912172E-2</v>
      </c>
      <c r="G11" s="2">
        <v>4.9092394075948098</v>
      </c>
      <c r="H11" s="2">
        <v>9.4034215666153539E-2</v>
      </c>
      <c r="I11" s="95">
        <v>1.0638410547595134</v>
      </c>
      <c r="J11" s="95">
        <v>1.0638410547595143</v>
      </c>
      <c r="K11" s="123">
        <v>1.0638410547595127</v>
      </c>
      <c r="L11" s="95">
        <v>1.0638410547595116</v>
      </c>
      <c r="M11" s="95">
        <v>1.0638410547595116</v>
      </c>
      <c r="N11" s="95">
        <v>1.0638410547595105</v>
      </c>
      <c r="O11" s="95">
        <v>1.0638410547595105</v>
      </c>
      <c r="P11" s="95">
        <v>1.0638410547595127</v>
      </c>
    </row>
    <row r="12" spans="1:16" x14ac:dyDescent="0.25">
      <c r="A12" s="4">
        <v>2026</v>
      </c>
      <c r="B12" s="2">
        <v>0.61999427935994933</v>
      </c>
      <c r="C12" s="2">
        <v>0.66770990895906368</v>
      </c>
      <c r="D12" s="122">
        <v>7.0975032951730768</v>
      </c>
      <c r="E12" s="2">
        <v>14.499365042342939</v>
      </c>
      <c r="F12" s="2">
        <v>4.1034088080432844E-2</v>
      </c>
      <c r="G12" s="2">
        <v>4.9423481959274769</v>
      </c>
      <c r="H12" s="2">
        <v>9.4668399229843964E-2</v>
      </c>
      <c r="I12" s="95">
        <v>1.0710157890466891</v>
      </c>
      <c r="J12" s="95">
        <v>1.0710157890466883</v>
      </c>
      <c r="K12" s="123">
        <v>1.0710157890466885</v>
      </c>
      <c r="L12" s="95">
        <v>1.0710157890466891</v>
      </c>
      <c r="M12" s="95">
        <v>1.0710157890466867</v>
      </c>
      <c r="N12" s="95">
        <v>1.0710157890466883</v>
      </c>
      <c r="O12" s="95">
        <v>1.0710157890466856</v>
      </c>
      <c r="P12" s="95">
        <v>1.0710157890466885</v>
      </c>
    </row>
    <row r="13" spans="1:16" x14ac:dyDescent="0.25">
      <c r="A13" s="4">
        <v>2027</v>
      </c>
      <c r="B13" s="2">
        <v>0.62414762075740604</v>
      </c>
      <c r="C13" s="2">
        <v>0.67218289733765813</v>
      </c>
      <c r="D13" s="122">
        <v>7.1450494665423605</v>
      </c>
      <c r="E13" s="2">
        <v>14.596496282213964</v>
      </c>
      <c r="F13" s="2">
        <v>4.1308975417953558E-2</v>
      </c>
      <c r="G13" s="2">
        <v>4.9754569842601297</v>
      </c>
      <c r="H13" s="2">
        <v>9.5302582793534513E-2</v>
      </c>
      <c r="I13" s="95">
        <v>1.078190523333866</v>
      </c>
      <c r="J13" s="95">
        <v>1.0781905233338662</v>
      </c>
      <c r="K13" s="123">
        <v>1.0781905233338644</v>
      </c>
      <c r="L13" s="95">
        <v>1.0781905233338631</v>
      </c>
      <c r="M13" s="95">
        <v>1.0781905233338631</v>
      </c>
      <c r="N13" s="95">
        <v>1.0781905233338627</v>
      </c>
      <c r="O13" s="95">
        <v>1.078190523333862</v>
      </c>
      <c r="P13" s="95">
        <v>1.0781905233338644</v>
      </c>
    </row>
    <row r="14" spans="1:16" x14ac:dyDescent="0.25">
      <c r="A14" s="4">
        <v>2028</v>
      </c>
      <c r="B14" s="2">
        <v>0.62830096215486353</v>
      </c>
      <c r="C14" s="2">
        <v>0.6766558857162519</v>
      </c>
      <c r="D14" s="122">
        <v>7.1925956379116434</v>
      </c>
      <c r="E14" s="2">
        <v>14.693627522085009</v>
      </c>
      <c r="F14" s="2">
        <v>4.15838627554743E-2</v>
      </c>
      <c r="G14" s="2">
        <v>5.008565772592803</v>
      </c>
      <c r="H14" s="2">
        <v>9.5936766357225103E-2</v>
      </c>
      <c r="I14" s="95">
        <v>1.0853652576210442</v>
      </c>
      <c r="J14" s="95">
        <v>1.0853652576210431</v>
      </c>
      <c r="K14" s="123">
        <v>1.0853652576210402</v>
      </c>
      <c r="L14" s="95">
        <v>1.0853652576210386</v>
      </c>
      <c r="M14" s="95">
        <v>1.08536525762104</v>
      </c>
      <c r="N14" s="95">
        <v>1.0853652576210415</v>
      </c>
      <c r="O14" s="95">
        <v>1.0853652576210391</v>
      </c>
      <c r="P14" s="95">
        <v>1.0853652576210402</v>
      </c>
    </row>
    <row r="15" spans="1:16" x14ac:dyDescent="0.25">
      <c r="A15" s="4">
        <v>2029</v>
      </c>
      <c r="B15" s="2">
        <v>0.63245430355231724</v>
      </c>
      <c r="C15" s="2">
        <v>0.68112887409484435</v>
      </c>
      <c r="D15" s="122">
        <v>7.2401418092809253</v>
      </c>
      <c r="E15" s="2">
        <v>14.790758761956045</v>
      </c>
      <c r="F15" s="2">
        <v>4.185875009299498E-2</v>
      </c>
      <c r="G15" s="2">
        <v>5.0416745609254567</v>
      </c>
      <c r="H15" s="2">
        <v>9.65709499209155E-2</v>
      </c>
      <c r="I15" s="95">
        <v>1.0925399919082159</v>
      </c>
      <c r="J15" s="95">
        <v>1.0925399919082177</v>
      </c>
      <c r="K15" s="123">
        <v>1.0925399919082159</v>
      </c>
      <c r="L15" s="95">
        <v>1.0925399919082133</v>
      </c>
      <c r="M15" s="95">
        <v>1.0925399919082153</v>
      </c>
      <c r="N15" s="95">
        <v>1.0925399919082164</v>
      </c>
      <c r="O15" s="95">
        <v>1.0925399919082137</v>
      </c>
      <c r="P15" s="95">
        <v>1.0925399919082159</v>
      </c>
    </row>
  </sheetData>
  <sheetProtection algorithmName="SHA-512" hashValue="oVl0p+FY3JfqZMlEGXE25H1UWmxX1LBfc7PhC9dURjdJMayYZzgM4HmIyie6cusQAE5cPxxdJwYmPCBjP8iVkQ==" saltValue="VIISnbs9D8wSXTiIiaqK6A==" spinCount="100000" sheet="1" objects="1" scenarios="1"/>
  <mergeCells count="4">
    <mergeCell ref="A1:P1"/>
    <mergeCell ref="B4:H4"/>
    <mergeCell ref="I4:O4"/>
    <mergeCell ref="A2:P2"/>
  </mergeCells>
  <conditionalFormatting sqref="P6:P15">
    <cfRule type="cellIs" dxfId="1" priority="1" operator="equal">
      <formula>FALSE</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B6CCC4031EA744B5508C7FA5DF7945" ma:contentTypeVersion="8" ma:contentTypeDescription="Create a new document." ma:contentTypeScope="" ma:versionID="7855bbd38ecb36258da98e49a79dd328">
  <xsd:schema xmlns:xsd="http://www.w3.org/2001/XMLSchema" xmlns:xs="http://www.w3.org/2001/XMLSchema" xmlns:p="http://schemas.microsoft.com/office/2006/metadata/properties" xmlns:ns2="be8ade03-f474-4d63-83f7-09b58e00de33" targetNamespace="http://schemas.microsoft.com/office/2006/metadata/properties" ma:root="true" ma:fieldsID="2e15306f84bcb8251ae15822b4582a3b" ns2:_="">
    <xsd:import namespace="be8ade03-f474-4d63-83f7-09b58e00de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ade03-f474-4d63-83f7-09b58e00de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592F10-BDA5-48EF-8F19-8B324C3764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ade03-f474-4d63-83f7-09b58e00de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3463B8-B1B1-432B-B0F9-99E74CB1F47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E52D15B-A7BC-42B7-8EDF-C9E2A359C1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vt:i4>
      </vt:variant>
    </vt:vector>
  </HeadingPairs>
  <TitlesOfParts>
    <vt:vector size="32" baseType="lpstr">
      <vt:lpstr>ReadMe</vt:lpstr>
      <vt:lpstr>RFP-Rev5Pct</vt:lpstr>
      <vt:lpstr>Emis-Rev5Pct</vt:lpstr>
      <vt:lpstr>SectorSum2020</vt:lpstr>
      <vt:lpstr>SectorSum2026</vt:lpstr>
      <vt:lpstr>SectorSum2027</vt:lpstr>
      <vt:lpstr>SectorSum2027PB</vt:lpstr>
      <vt:lpstr>OYWCalcs</vt:lpstr>
      <vt:lpstr>PointsNoBACT</vt:lpstr>
      <vt:lpstr>SpaceHeat</vt:lpstr>
      <vt:lpstr>OnRoad</vt:lpstr>
      <vt:lpstr>2020NRARSummary</vt:lpstr>
      <vt:lpstr>2021NRARSummary</vt:lpstr>
      <vt:lpstr>2022NRARSummary</vt:lpstr>
      <vt:lpstr>2023NRARSummary</vt:lpstr>
      <vt:lpstr>2024NRARSummary</vt:lpstr>
      <vt:lpstr>2025NRARSummary</vt:lpstr>
      <vt:lpstr>2026NRARSummary</vt:lpstr>
      <vt:lpstr>2027NRARSummary</vt:lpstr>
      <vt:lpstr>2028NRARSummary</vt:lpstr>
      <vt:lpstr>2029NRARSummary</vt:lpstr>
      <vt:lpstr>TabSpHt2020</vt:lpstr>
      <vt:lpstr>TabSpHt2021</vt:lpstr>
      <vt:lpstr>TabSpHt2022</vt:lpstr>
      <vt:lpstr>TabSpHt2023</vt:lpstr>
      <vt:lpstr>TabSpHt2024</vt:lpstr>
      <vt:lpstr>TabSpHt2025</vt:lpstr>
      <vt:lpstr>TabSpHt2026</vt:lpstr>
      <vt:lpstr>TabSpHt2027</vt:lpstr>
      <vt:lpstr>TabSpHt2028</vt:lpstr>
      <vt:lpstr>TabSpHt2029</vt:lpstr>
      <vt:lpstr>'Emis-Rev5Pct'!Print_Area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Carlson</dc:creator>
  <cp:lastModifiedBy>Alimi, Adeyemi S (DEC)</cp:lastModifiedBy>
  <cp:lastPrinted>2023-11-07T18:18:01Z</cp:lastPrinted>
  <dcterms:created xsi:type="dcterms:W3CDTF">2020-04-10T15:04:01Z</dcterms:created>
  <dcterms:modified xsi:type="dcterms:W3CDTF">2024-08-21T19:05:27Z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0x01010033B6CCC4031EA744B5508C7FA5DF7945</vt:lpwstr>
  </property>
</Properties>
</file>